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workbookProtection workbookAlgorithmName="SHA-512" workbookHashValue="HRV0X6pcjbg5slvExIKonT+hcxOvvfldCzrCwNLR0YOpaT0QejReoqc/0/YUhqHiBMn18rmejFiK+eim/zglcA==" workbookSaltValue="B79kzHJwncWBuCJ+enx1xQ==" workbookSpinCount="100000" lockStructure="1"/>
  <bookViews>
    <workbookView xWindow="0" yWindow="0" windowWidth="23040" windowHeight="9192" tabRatio="681"/>
  </bookViews>
  <sheets>
    <sheet name="Подвесная" sheetId="5" r:id="rId1"/>
    <sheet name="Подвесная угловая" sheetId="10" r:id="rId2"/>
    <sheet name="Складная" sheetId="4" r:id="rId3"/>
    <sheet name="Распашная" sheetId="3" r:id="rId4"/>
    <sheet name="Стационарная" sheetId="1" r:id="rId5"/>
    <sheet name="Цены" sheetId="9" r:id="rId6"/>
  </sheets>
  <calcPr calcId="162913"/>
</workbook>
</file>

<file path=xl/calcChain.xml><?xml version="1.0" encoding="utf-8"?>
<calcChain xmlns="http://schemas.openxmlformats.org/spreadsheetml/2006/main">
  <c r="O37" i="4" l="1"/>
  <c r="BL54" i="1" l="1"/>
  <c r="BM54" i="1"/>
  <c r="BN54" i="1"/>
  <c r="BO54" i="1"/>
  <c r="BP54" i="1"/>
  <c r="BL55" i="1"/>
  <c r="BJ55" i="1" s="1"/>
  <c r="BM55" i="1"/>
  <c r="BN55" i="1"/>
  <c r="BO55" i="1"/>
  <c r="BP55" i="1"/>
  <c r="BL56" i="1"/>
  <c r="BM56" i="1"/>
  <c r="BN56" i="1"/>
  <c r="BO56" i="1"/>
  <c r="BP56" i="1"/>
  <c r="BN57" i="1"/>
  <c r="BL58" i="1"/>
  <c r="BM58" i="1"/>
  <c r="BN58" i="1"/>
  <c r="BO58" i="1"/>
  <c r="BK58" i="1" s="1"/>
  <c r="BP58" i="1"/>
  <c r="BM53" i="1"/>
  <c r="BN53" i="1"/>
  <c r="BO53" i="1"/>
  <c r="BP53" i="1"/>
  <c r="BL53" i="1"/>
  <c r="BL39" i="1"/>
  <c r="BM39" i="1"/>
  <c r="BN39" i="1"/>
  <c r="BO39" i="1"/>
  <c r="BP39" i="1"/>
  <c r="BL40" i="1"/>
  <c r="BJ40" i="1" s="1"/>
  <c r="AE12" i="1" s="1"/>
  <c r="AS12" i="1" s="1"/>
  <c r="BM40" i="1"/>
  <c r="BN40" i="1"/>
  <c r="BO40" i="1"/>
  <c r="BP40" i="1"/>
  <c r="BL41" i="1"/>
  <c r="BM41" i="1"/>
  <c r="BJ41" i="1" s="1"/>
  <c r="AE13" i="1" s="1"/>
  <c r="AS13" i="1" s="1"/>
  <c r="BN41" i="1"/>
  <c r="BO41" i="1"/>
  <c r="BP41" i="1"/>
  <c r="BN42" i="1"/>
  <c r="BL43" i="1"/>
  <c r="BM43" i="1"/>
  <c r="BN43" i="1"/>
  <c r="BO43" i="1"/>
  <c r="BE43" i="1" s="1"/>
  <c r="Z15" i="1" s="1"/>
  <c r="AN15" i="1" s="1"/>
  <c r="BP43" i="1"/>
  <c r="BM38" i="1"/>
  <c r="BN38" i="1"/>
  <c r="BO38" i="1"/>
  <c r="BP38" i="1"/>
  <c r="BL38" i="1"/>
  <c r="BD41" i="1"/>
  <c r="Y13" i="1" s="1"/>
  <c r="AM13" i="1" s="1"/>
  <c r="U13" i="1"/>
  <c r="AI13" i="1" s="1"/>
  <c r="V13" i="1"/>
  <c r="W13" i="1"/>
  <c r="AK13" i="1" s="1"/>
  <c r="X13" i="1"/>
  <c r="AL13" i="1" s="1"/>
  <c r="Z13" i="1"/>
  <c r="AN13" i="1" s="1"/>
  <c r="AA13" i="1"/>
  <c r="AO13" i="1" s="1"/>
  <c r="AB13" i="1"/>
  <c r="AP13" i="1" s="1"/>
  <c r="AC13" i="1"/>
  <c r="AQ13" i="1" s="1"/>
  <c r="AD13" i="1"/>
  <c r="AR13" i="1" s="1"/>
  <c r="AF13" i="1"/>
  <c r="AT13" i="1" s="1"/>
  <c r="U15" i="1"/>
  <c r="AI15" i="1" s="1"/>
  <c r="V15" i="1"/>
  <c r="AJ15" i="1" s="1"/>
  <c r="W15" i="1"/>
  <c r="AK15" i="1" s="1"/>
  <c r="X15" i="1"/>
  <c r="AL15" i="1" s="1"/>
  <c r="Y15" i="1"/>
  <c r="AM15" i="1" s="1"/>
  <c r="AA15" i="1"/>
  <c r="AO15" i="1" s="1"/>
  <c r="AB15" i="1"/>
  <c r="AP15" i="1" s="1"/>
  <c r="AC15" i="1"/>
  <c r="AQ15" i="1" s="1"/>
  <c r="AD15" i="1"/>
  <c r="AR15" i="1" s="1"/>
  <c r="AE15" i="1"/>
  <c r="AS15" i="1" s="1"/>
  <c r="V12" i="1"/>
  <c r="AJ12" i="1" s="1"/>
  <c r="W12" i="1"/>
  <c r="AK12" i="1" s="1"/>
  <c r="X12" i="1"/>
  <c r="AL12" i="1" s="1"/>
  <c r="Z12" i="1"/>
  <c r="AN12" i="1" s="1"/>
  <c r="AA12" i="1"/>
  <c r="AO12" i="1" s="1"/>
  <c r="AB12" i="1"/>
  <c r="AP12" i="1" s="1"/>
  <c r="AC12" i="1"/>
  <c r="AQ12" i="1" s="1"/>
  <c r="AD12" i="1"/>
  <c r="AR12" i="1" s="1"/>
  <c r="AF12" i="1"/>
  <c r="AT12" i="1" s="1"/>
  <c r="U12" i="1"/>
  <c r="AI12" i="1" s="1"/>
  <c r="V10" i="1"/>
  <c r="AJ10" i="1" s="1"/>
  <c r="W10" i="1"/>
  <c r="AK10" i="1" s="1"/>
  <c r="X10" i="1"/>
  <c r="AL10" i="1" s="1"/>
  <c r="Z10" i="1"/>
  <c r="AN10" i="1" s="1"/>
  <c r="AA10" i="1"/>
  <c r="AO10" i="1" s="1"/>
  <c r="AB10" i="1"/>
  <c r="AP10" i="1" s="1"/>
  <c r="AC10" i="1"/>
  <c r="AQ10" i="1" s="1"/>
  <c r="AD10" i="1"/>
  <c r="AR10" i="1" s="1"/>
  <c r="AF10" i="1"/>
  <c r="AT10" i="1" s="1"/>
  <c r="U10" i="1"/>
  <c r="AI10" i="1" s="1"/>
  <c r="V9" i="1"/>
  <c r="W9" i="1"/>
  <c r="X9" i="1"/>
  <c r="Y9" i="1"/>
  <c r="Z9" i="1"/>
  <c r="AA9" i="1"/>
  <c r="AB9" i="1"/>
  <c r="AC9" i="1"/>
  <c r="AD9" i="1"/>
  <c r="AE9" i="1"/>
  <c r="AF9" i="1"/>
  <c r="U9" i="1"/>
  <c r="BJ56" i="1"/>
  <c r="BJ53" i="1"/>
  <c r="BK52" i="1"/>
  <c r="BK43" i="1"/>
  <c r="AF15" i="1" s="1"/>
  <c r="AT15" i="1" s="1"/>
  <c r="BJ38" i="1"/>
  <c r="AE10" i="1" s="1"/>
  <c r="AS10" i="1" s="1"/>
  <c r="BD38" i="1"/>
  <c r="Y10" i="1" s="1"/>
  <c r="AM10" i="1" s="1"/>
  <c r="BK37" i="1"/>
  <c r="BK28" i="1"/>
  <c r="BJ26" i="1"/>
  <c r="BJ25" i="1"/>
  <c r="BJ12" i="1"/>
  <c r="BJ23" i="1"/>
  <c r="BK15" i="1"/>
  <c r="BJ13" i="1"/>
  <c r="BJ10" i="1"/>
  <c r="BK22" i="1"/>
  <c r="BK9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 s="1"/>
  <c r="AC11" i="3"/>
  <c r="AQ11" i="3" s="1"/>
  <c r="U12" i="3"/>
  <c r="V12" i="3"/>
  <c r="AJ12" i="3" s="1"/>
  <c r="W12" i="3"/>
  <c r="X12" i="3"/>
  <c r="AL12" i="3" s="1"/>
  <c r="Y12" i="3"/>
  <c r="Z12" i="3"/>
  <c r="AA12" i="3"/>
  <c r="AB12" i="3"/>
  <c r="AP12" i="3" s="1"/>
  <c r="AC12" i="3"/>
  <c r="AD12" i="3"/>
  <c r="AE12" i="3"/>
  <c r="AF12" i="3"/>
  <c r="AT12" i="3" s="1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 s="1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 s="1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BK48" i="4"/>
  <c r="BK35" i="4"/>
  <c r="BK22" i="4"/>
  <c r="V11" i="4"/>
  <c r="AJ11" i="4" s="1"/>
  <c r="W11" i="4"/>
  <c r="AK11" i="4" s="1"/>
  <c r="X11" i="4"/>
  <c r="AL11" i="4" s="1"/>
  <c r="Y11" i="4"/>
  <c r="AM11" i="4" s="1"/>
  <c r="Z11" i="4"/>
  <c r="AN11" i="4" s="1"/>
  <c r="AA11" i="4"/>
  <c r="AO11" i="4" s="1"/>
  <c r="AB11" i="4"/>
  <c r="AP11" i="4" s="1"/>
  <c r="AC11" i="4"/>
  <c r="AQ11" i="4" s="1"/>
  <c r="AD11" i="4"/>
  <c r="AR11" i="4" s="1"/>
  <c r="AE11" i="4"/>
  <c r="AS11" i="4" s="1"/>
  <c r="AF11" i="4"/>
  <c r="AT11" i="4" s="1"/>
  <c r="V12" i="4"/>
  <c r="AJ12" i="4" s="1"/>
  <c r="W12" i="4"/>
  <c r="AK12" i="4" s="1"/>
  <c r="X12" i="4"/>
  <c r="AL12" i="4" s="1"/>
  <c r="Y12" i="4"/>
  <c r="AM12" i="4" s="1"/>
  <c r="Z12" i="4"/>
  <c r="AN12" i="4" s="1"/>
  <c r="AA12" i="4"/>
  <c r="AO12" i="4" s="1"/>
  <c r="AB12" i="4"/>
  <c r="AP12" i="4" s="1"/>
  <c r="AC12" i="4"/>
  <c r="AQ12" i="4" s="1"/>
  <c r="AD12" i="4"/>
  <c r="AR12" i="4" s="1"/>
  <c r="AE12" i="4"/>
  <c r="AS12" i="4" s="1"/>
  <c r="AF12" i="4"/>
  <c r="AT12" i="4" s="1"/>
  <c r="V13" i="4"/>
  <c r="AJ13" i="4" s="1"/>
  <c r="W13" i="4"/>
  <c r="AK13" i="4" s="1"/>
  <c r="X13" i="4"/>
  <c r="AL13" i="4" s="1"/>
  <c r="Y13" i="4"/>
  <c r="AM13" i="4" s="1"/>
  <c r="Z13" i="4"/>
  <c r="AN13" i="4" s="1"/>
  <c r="AA13" i="4"/>
  <c r="AO13" i="4" s="1"/>
  <c r="AB13" i="4"/>
  <c r="AP13" i="4" s="1"/>
  <c r="AC13" i="4"/>
  <c r="AQ13" i="4" s="1"/>
  <c r="AD13" i="4"/>
  <c r="AR13" i="4" s="1"/>
  <c r="AE13" i="4"/>
  <c r="AS13" i="4" s="1"/>
  <c r="AF13" i="4"/>
  <c r="AT13" i="4" s="1"/>
  <c r="V14" i="4"/>
  <c r="AJ14" i="4" s="1"/>
  <c r="AC14" i="4"/>
  <c r="AQ14" i="4" s="1"/>
  <c r="V15" i="4"/>
  <c r="AJ15" i="4" s="1"/>
  <c r="W15" i="4"/>
  <c r="AK15" i="4" s="1"/>
  <c r="X15" i="4"/>
  <c r="AL15" i="4" s="1"/>
  <c r="Y15" i="4"/>
  <c r="AM15" i="4" s="1"/>
  <c r="Z15" i="4"/>
  <c r="AN15" i="4" s="1"/>
  <c r="AA15" i="4"/>
  <c r="AO15" i="4" s="1"/>
  <c r="AB15" i="4"/>
  <c r="AP15" i="4" s="1"/>
  <c r="AC15" i="4"/>
  <c r="AQ15" i="4" s="1"/>
  <c r="AD15" i="4"/>
  <c r="AR15" i="4" s="1"/>
  <c r="AE15" i="4"/>
  <c r="AS15" i="4" s="1"/>
  <c r="AF15" i="4"/>
  <c r="AT15" i="4" s="1"/>
  <c r="U12" i="4"/>
  <c r="AI12" i="4" s="1"/>
  <c r="U13" i="4"/>
  <c r="U15" i="4"/>
  <c r="AI15" i="4" s="1"/>
  <c r="U11" i="4"/>
  <c r="AI11" i="4" s="1"/>
  <c r="V10" i="4"/>
  <c r="AJ10" i="4" s="1"/>
  <c r="W10" i="4"/>
  <c r="AK10" i="4" s="1"/>
  <c r="X10" i="4"/>
  <c r="AL10" i="4" s="1"/>
  <c r="Y10" i="4"/>
  <c r="AM10" i="4" s="1"/>
  <c r="Z10" i="4"/>
  <c r="AN10" i="4" s="1"/>
  <c r="AA10" i="4"/>
  <c r="AO10" i="4" s="1"/>
  <c r="AB10" i="4"/>
  <c r="AP10" i="4" s="1"/>
  <c r="AC10" i="4"/>
  <c r="AQ10" i="4" s="1"/>
  <c r="AD10" i="4"/>
  <c r="AR10" i="4" s="1"/>
  <c r="AE10" i="4"/>
  <c r="AS10" i="4" s="1"/>
  <c r="AF10" i="4"/>
  <c r="AT10" i="4" s="1"/>
  <c r="U10" i="4"/>
  <c r="AI10" i="4" s="1"/>
  <c r="V9" i="4"/>
  <c r="W9" i="4"/>
  <c r="X9" i="4"/>
  <c r="Y9" i="4"/>
  <c r="Z9" i="4"/>
  <c r="AA9" i="4"/>
  <c r="AB9" i="4"/>
  <c r="AC9" i="4"/>
  <c r="AD9" i="4"/>
  <c r="AE9" i="4"/>
  <c r="AF9" i="4"/>
  <c r="BK28" i="4"/>
  <c r="BJ26" i="4"/>
  <c r="BJ25" i="4"/>
  <c r="BK24" i="4"/>
  <c r="BJ23" i="4"/>
  <c r="BK15" i="4"/>
  <c r="BJ12" i="4"/>
  <c r="BJ13" i="4"/>
  <c r="BK11" i="4"/>
  <c r="BJ10" i="4"/>
  <c r="BJ49" i="4"/>
  <c r="BJ36" i="4"/>
  <c r="U9" i="4"/>
  <c r="BP54" i="4"/>
  <c r="BO54" i="4"/>
  <c r="BK54" i="4" s="1"/>
  <c r="BE54" i="4"/>
  <c r="BM52" i="4"/>
  <c r="BL52" i="4"/>
  <c r="BJ52" i="4" s="1"/>
  <c r="BM51" i="4"/>
  <c r="BL51" i="4"/>
  <c r="BJ51" i="4" s="1"/>
  <c r="BD51" i="4"/>
  <c r="BM50" i="4"/>
  <c r="BL50" i="4"/>
  <c r="BK50" i="4" s="1"/>
  <c r="BE50" i="4"/>
  <c r="BM49" i="4"/>
  <c r="BL49" i="4"/>
  <c r="BD49" i="4"/>
  <c r="BP41" i="4"/>
  <c r="BO41" i="4"/>
  <c r="BK41" i="4" s="1"/>
  <c r="BM39" i="4"/>
  <c r="BL39" i="4"/>
  <c r="BD39" i="4" s="1"/>
  <c r="BJ39" i="4"/>
  <c r="BM38" i="4"/>
  <c r="BL38" i="4"/>
  <c r="BJ38" i="4" s="1"/>
  <c r="BM37" i="4"/>
  <c r="BL37" i="4"/>
  <c r="BK37" i="4" s="1"/>
  <c r="BM36" i="4"/>
  <c r="BL36" i="4"/>
  <c r="BJ48" i="5"/>
  <c r="BM11" i="5"/>
  <c r="BJ37" i="5"/>
  <c r="BJ25" i="5"/>
  <c r="BJ13" i="5"/>
  <c r="BJ10" i="5"/>
  <c r="AI10" i="5"/>
  <c r="W15" i="10"/>
  <c r="AK15" i="10" s="1"/>
  <c r="X15" i="10"/>
  <c r="AL15" i="10" s="1"/>
  <c r="AA15" i="10"/>
  <c r="AO15" i="10" s="1"/>
  <c r="AC15" i="10"/>
  <c r="AQ15" i="10" s="1"/>
  <c r="AD15" i="10"/>
  <c r="AR15" i="10" s="1"/>
  <c r="AG15" i="10"/>
  <c r="AU15" i="10" s="1"/>
  <c r="W13" i="10"/>
  <c r="AK13" i="10" s="1"/>
  <c r="X13" i="10"/>
  <c r="AL13" i="10" s="1"/>
  <c r="Y13" i="10"/>
  <c r="AM13" i="10" s="1"/>
  <c r="AA13" i="10"/>
  <c r="AO13" i="10" s="1"/>
  <c r="AB13" i="10"/>
  <c r="AP13" i="10" s="1"/>
  <c r="AC13" i="10"/>
  <c r="AQ13" i="10" s="1"/>
  <c r="AD13" i="10"/>
  <c r="AR13" i="10" s="1"/>
  <c r="AE13" i="10"/>
  <c r="AS13" i="10" s="1"/>
  <c r="AG13" i="10"/>
  <c r="AU13" i="10" s="1"/>
  <c r="V13" i="10"/>
  <c r="AJ13" i="10" s="1"/>
  <c r="W11" i="10"/>
  <c r="AK11" i="10" s="1"/>
  <c r="X11" i="10"/>
  <c r="AL11" i="10" s="1"/>
  <c r="Y11" i="10"/>
  <c r="AM11" i="10" s="1"/>
  <c r="AA11" i="10"/>
  <c r="AO11" i="10" s="1"/>
  <c r="AB11" i="10"/>
  <c r="AP11" i="10" s="1"/>
  <c r="AC11" i="10"/>
  <c r="AQ11" i="10" s="1"/>
  <c r="AD11" i="10"/>
  <c r="AR11" i="10" s="1"/>
  <c r="AE11" i="10"/>
  <c r="AS11" i="10" s="1"/>
  <c r="AG11" i="10"/>
  <c r="AU11" i="10" s="1"/>
  <c r="V11" i="10"/>
  <c r="AJ11" i="10" s="1"/>
  <c r="W10" i="10"/>
  <c r="X10" i="10"/>
  <c r="Y10" i="10"/>
  <c r="Z10" i="10"/>
  <c r="AA10" i="10"/>
  <c r="AB10" i="10"/>
  <c r="AC10" i="10"/>
  <c r="AD10" i="10"/>
  <c r="AE10" i="10"/>
  <c r="AF10" i="10"/>
  <c r="V10" i="10"/>
  <c r="BD37" i="5"/>
  <c r="BD48" i="5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BE58" i="1" l="1"/>
  <c r="BD40" i="1"/>
  <c r="Y12" i="1" s="1"/>
  <c r="AM12" i="1" s="1"/>
  <c r="AU12" i="1" s="1"/>
  <c r="AG12" i="1" s="1"/>
  <c r="BD53" i="1"/>
  <c r="BD55" i="1"/>
  <c r="BD56" i="1"/>
  <c r="AU10" i="1"/>
  <c r="AG10" i="1" s="1"/>
  <c r="AU15" i="1"/>
  <c r="AG15" i="1" s="1"/>
  <c r="AJ13" i="1"/>
  <c r="AU13" i="1" s="1"/>
  <c r="AG13" i="1" s="1"/>
  <c r="AU12" i="3"/>
  <c r="AG12" i="3" s="1"/>
  <c r="AU10" i="3"/>
  <c r="AG10" i="3" s="1"/>
  <c r="BE33" i="3"/>
  <c r="AU12" i="4"/>
  <c r="AG12" i="4" s="1"/>
  <c r="AU11" i="4"/>
  <c r="AG11" i="4" s="1"/>
  <c r="AU15" i="4"/>
  <c r="AG15" i="4" s="1"/>
  <c r="AI13" i="4"/>
  <c r="AU13" i="4" s="1"/>
  <c r="AG13" i="4" s="1"/>
  <c r="AU10" i="4"/>
  <c r="AG10" i="4" s="1"/>
  <c r="BD52" i="4"/>
  <c r="BD36" i="4"/>
  <c r="BE37" i="4"/>
  <c r="BD38" i="4"/>
  <c r="BE41" i="4"/>
  <c r="BM46" i="5"/>
  <c r="BM45" i="5"/>
  <c r="BL45" i="5"/>
  <c r="BJ45" i="5"/>
  <c r="BD45" i="5"/>
  <c r="BM35" i="5"/>
  <c r="BM34" i="5"/>
  <c r="BL34" i="5"/>
  <c r="BJ34" i="5"/>
  <c r="BD34" i="5"/>
  <c r="BM23" i="5"/>
  <c r="BM22" i="5"/>
  <c r="BL22" i="5"/>
  <c r="BJ22" i="5"/>
  <c r="BD22" i="5"/>
  <c r="V14" i="5"/>
  <c r="AJ14" i="5" s="1"/>
  <c r="AC14" i="5"/>
  <c r="AQ14" i="5" s="1"/>
  <c r="V13" i="5"/>
  <c r="AJ13" i="5" s="1"/>
  <c r="W13" i="5"/>
  <c r="AK13" i="5" s="1"/>
  <c r="Z13" i="5"/>
  <c r="AN13" i="5" s="1"/>
  <c r="AB13" i="5"/>
  <c r="AP13" i="5" s="1"/>
  <c r="AC13" i="5"/>
  <c r="AQ13" i="5" s="1"/>
  <c r="AF13" i="5"/>
  <c r="AT13" i="5" s="1"/>
  <c r="V11" i="5"/>
  <c r="AJ11" i="5" s="1"/>
  <c r="W11" i="5"/>
  <c r="AK11" i="5" s="1"/>
  <c r="X11" i="5"/>
  <c r="AL11" i="5" s="1"/>
  <c r="Z11" i="5"/>
  <c r="AN11" i="5" s="1"/>
  <c r="AA11" i="5"/>
  <c r="AO11" i="5" s="1"/>
  <c r="AB11" i="5"/>
  <c r="AP11" i="5" s="1"/>
  <c r="AC11" i="5"/>
  <c r="AQ11" i="5" s="1"/>
  <c r="AD11" i="5"/>
  <c r="AR11" i="5" s="1"/>
  <c r="AF11" i="5"/>
  <c r="AT11" i="5" s="1"/>
  <c r="U11" i="5"/>
  <c r="AI11" i="5" s="1"/>
  <c r="V10" i="5"/>
  <c r="AJ10" i="5" s="1"/>
  <c r="W10" i="5"/>
  <c r="AK10" i="5" s="1"/>
  <c r="X10" i="5"/>
  <c r="AL10" i="5" s="1"/>
  <c r="Z10" i="5"/>
  <c r="AN10" i="5" s="1"/>
  <c r="AA10" i="5"/>
  <c r="AO10" i="5" s="1"/>
  <c r="AB10" i="5"/>
  <c r="AP10" i="5" s="1"/>
  <c r="AC10" i="5"/>
  <c r="AQ10" i="5" s="1"/>
  <c r="AD10" i="5"/>
  <c r="AR10" i="5" s="1"/>
  <c r="AF10" i="5"/>
  <c r="AT10" i="5" s="1"/>
  <c r="U10" i="5"/>
  <c r="V9" i="5"/>
  <c r="W9" i="5"/>
  <c r="X9" i="5"/>
  <c r="Y9" i="5"/>
  <c r="Z9" i="5"/>
  <c r="AA9" i="5"/>
  <c r="AB9" i="5"/>
  <c r="AC9" i="5"/>
  <c r="AD9" i="5"/>
  <c r="AE9" i="5"/>
  <c r="U9" i="5"/>
  <c r="P30" i="10" l="1"/>
  <c r="P29" i="10"/>
  <c r="P45" i="10"/>
  <c r="P34" i="10"/>
  <c r="P26" i="10"/>
  <c r="J18" i="10" l="1"/>
  <c r="J17" i="10"/>
  <c r="BY61" i="10" l="1"/>
  <c r="BY62" i="10"/>
  <c r="BY58" i="10"/>
  <c r="BY59" i="10"/>
  <c r="BY60" i="10"/>
  <c r="BV58" i="5"/>
  <c r="BV73" i="3" s="1"/>
  <c r="BV59" i="5"/>
  <c r="BV60" i="1" s="1"/>
  <c r="BV60" i="5"/>
  <c r="BV61" i="1" s="1"/>
  <c r="BV61" i="5"/>
  <c r="AY58" i="4" s="1"/>
  <c r="BV62" i="5"/>
  <c r="BV77" i="3" s="1"/>
  <c r="K94" i="9"/>
  <c r="J94" i="9" s="1"/>
  <c r="K95" i="9"/>
  <c r="J95" i="9" s="1"/>
  <c r="K96" i="9"/>
  <c r="J96" i="9" s="1"/>
  <c r="K97" i="9"/>
  <c r="J97" i="9" s="1"/>
  <c r="K98" i="9"/>
  <c r="J98" i="9" s="1"/>
  <c r="O94" i="9"/>
  <c r="O95" i="9"/>
  <c r="O96" i="9"/>
  <c r="O97" i="9"/>
  <c r="O98" i="9"/>
  <c r="K80" i="9"/>
  <c r="J80" i="9" s="1"/>
  <c r="K81" i="9"/>
  <c r="J81" i="9" s="1"/>
  <c r="K82" i="9"/>
  <c r="J82" i="9" s="1"/>
  <c r="K83" i="9"/>
  <c r="J83" i="9" s="1"/>
  <c r="K84" i="9"/>
  <c r="J84" i="9" s="1"/>
  <c r="O80" i="9"/>
  <c r="O81" i="9"/>
  <c r="O82" i="9"/>
  <c r="O83" i="9"/>
  <c r="O84" i="9"/>
  <c r="O70" i="9"/>
  <c r="O71" i="9"/>
  <c r="O58" i="9"/>
  <c r="O59" i="9"/>
  <c r="O60" i="9"/>
  <c r="O61" i="9"/>
  <c r="O62" i="9"/>
  <c r="O45" i="9"/>
  <c r="O46" i="9"/>
  <c r="O47" i="9"/>
  <c r="O48" i="9"/>
  <c r="O49" i="9"/>
  <c r="O27" i="9"/>
  <c r="O28" i="9"/>
  <c r="O29" i="9"/>
  <c r="O30" i="9"/>
  <c r="O31" i="9"/>
  <c r="O14" i="9"/>
  <c r="O15" i="9"/>
  <c r="O16" i="9"/>
  <c r="O17" i="9"/>
  <c r="O18" i="9"/>
  <c r="K70" i="9"/>
  <c r="J70" i="9" s="1"/>
  <c r="K71" i="9"/>
  <c r="J71" i="9" s="1"/>
  <c r="K58" i="9"/>
  <c r="J58" i="9" s="1"/>
  <c r="K59" i="9"/>
  <c r="J59" i="9" s="1"/>
  <c r="K60" i="9"/>
  <c r="J60" i="9" s="1"/>
  <c r="K61" i="9"/>
  <c r="J61" i="9" s="1"/>
  <c r="K62" i="9"/>
  <c r="J62" i="9" s="1"/>
  <c r="K45" i="9"/>
  <c r="J45" i="9" s="1"/>
  <c r="K46" i="9"/>
  <c r="J46" i="9" s="1"/>
  <c r="K47" i="9"/>
  <c r="J47" i="9" s="1"/>
  <c r="K48" i="9"/>
  <c r="J48" i="9" s="1"/>
  <c r="K49" i="9"/>
  <c r="J49" i="9" s="1"/>
  <c r="K27" i="9"/>
  <c r="J27" i="9" s="1"/>
  <c r="K28" i="9"/>
  <c r="J28" i="9" s="1"/>
  <c r="K29" i="9"/>
  <c r="J29" i="9" s="1"/>
  <c r="K30" i="9"/>
  <c r="J30" i="9" s="1"/>
  <c r="K31" i="9"/>
  <c r="J31" i="9" s="1"/>
  <c r="K14" i="9"/>
  <c r="J14" i="9" s="1"/>
  <c r="K15" i="9"/>
  <c r="J15" i="9" s="1"/>
  <c r="K16" i="9"/>
  <c r="J16" i="9" s="1"/>
  <c r="K17" i="9"/>
  <c r="J17" i="9" s="1"/>
  <c r="K18" i="9"/>
  <c r="J18" i="9" s="1"/>
  <c r="M13" i="1"/>
  <c r="M10" i="3"/>
  <c r="M13" i="4"/>
  <c r="L18" i="10"/>
  <c r="L17" i="10"/>
  <c r="N16" i="10"/>
  <c r="N15" i="10"/>
  <c r="N18" i="10"/>
  <c r="N17" i="10"/>
  <c r="P35" i="10" l="1"/>
  <c r="BV76" i="3"/>
  <c r="AY55" i="4"/>
  <c r="BV59" i="1"/>
  <c r="AY59" i="4"/>
  <c r="BV75" i="3"/>
  <c r="BV62" i="1"/>
  <c r="BV63" i="1"/>
  <c r="AY57" i="4"/>
  <c r="BV74" i="3"/>
  <c r="AY56" i="4"/>
  <c r="P44" i="10"/>
  <c r="O42" i="5"/>
  <c r="K178" i="9" l="1"/>
  <c r="K179" i="9"/>
  <c r="O25" i="5" l="1"/>
  <c r="M12" i="5" l="1"/>
  <c r="M11" i="5"/>
  <c r="M10" i="5"/>
  <c r="M9" i="5"/>
  <c r="E9" i="5"/>
  <c r="O43" i="5"/>
  <c r="O32" i="5"/>
  <c r="O31" i="5"/>
  <c r="L11" i="5"/>
  <c r="K5" i="5"/>
  <c r="L10" i="5" s="1"/>
  <c r="L12" i="5" s="1"/>
  <c r="K4" i="5"/>
  <c r="M13" i="5" l="1"/>
  <c r="M14" i="5"/>
  <c r="O29" i="5"/>
  <c r="O24" i="5" s="1"/>
  <c r="K4" i="4"/>
  <c r="O168" i="9" l="1"/>
  <c r="O169" i="9"/>
  <c r="O167" i="9"/>
  <c r="K169" i="9"/>
  <c r="J169" i="9" s="1"/>
  <c r="K168" i="9"/>
  <c r="J168" i="9" s="1"/>
  <c r="K167" i="9"/>
  <c r="J167" i="9" s="1"/>
  <c r="N5" i="10" l="1"/>
  <c r="L5" i="10" l="1"/>
  <c r="K4" i="1" l="1"/>
  <c r="L9" i="1" s="1"/>
  <c r="M9" i="1"/>
  <c r="K6" i="9"/>
  <c r="J6" i="9" s="1"/>
  <c r="K5" i="1"/>
  <c r="F18" i="1" s="1"/>
  <c r="K37" i="9"/>
  <c r="J37" i="9" s="1"/>
  <c r="L11" i="1"/>
  <c r="M11" i="1" s="1"/>
  <c r="K32" i="9"/>
  <c r="J32" i="9" s="1"/>
  <c r="L12" i="1"/>
  <c r="M12" i="1"/>
  <c r="K19" i="9"/>
  <c r="J19" i="9" s="1"/>
  <c r="K50" i="9"/>
  <c r="J50" i="9" s="1"/>
  <c r="BW17" i="10" s="1" a="1"/>
  <c r="BW17" i="10" s="1"/>
  <c r="M15" i="1"/>
  <c r="K85" i="9"/>
  <c r="J85" i="9" s="1"/>
  <c r="BT15" i="1" s="1"/>
  <c r="M14" i="1"/>
  <c r="O24" i="1" s="1"/>
  <c r="K184" i="9"/>
  <c r="J184" i="9" s="1"/>
  <c r="O25" i="1"/>
  <c r="K177" i="9"/>
  <c r="J177" i="9" s="1"/>
  <c r="G18" i="1"/>
  <c r="G21" i="1"/>
  <c r="G22" i="1"/>
  <c r="J178" i="9"/>
  <c r="O27" i="1"/>
  <c r="K171" i="9"/>
  <c r="J171" i="9" s="1"/>
  <c r="O28" i="1"/>
  <c r="K132" i="9"/>
  <c r="J132" i="9" s="1"/>
  <c r="O29" i="1"/>
  <c r="K161" i="9"/>
  <c r="J161" i="9" s="1"/>
  <c r="K180" i="9"/>
  <c r="J180" i="9" s="1"/>
  <c r="K176" i="9"/>
  <c r="J176" i="9" s="1"/>
  <c r="O23" i="1"/>
  <c r="K131" i="9"/>
  <c r="J131" i="9" s="1"/>
  <c r="G19" i="1"/>
  <c r="G20" i="1"/>
  <c r="K103" i="9"/>
  <c r="J103" i="9" s="1"/>
  <c r="K86" i="9"/>
  <c r="J86" i="9" s="1"/>
  <c r="K5" i="3"/>
  <c r="T13" i="1"/>
  <c r="J14" i="1"/>
  <c r="T15" i="1"/>
  <c r="T12" i="1"/>
  <c r="T10" i="1"/>
  <c r="T9" i="1"/>
  <c r="J11" i="3"/>
  <c r="L11" i="3"/>
  <c r="BM11" i="3" s="1"/>
  <c r="BM21" i="3" s="1"/>
  <c r="BM32" i="3" s="1"/>
  <c r="BM43" i="3" s="1"/>
  <c r="M11" i="3"/>
  <c r="O25" i="3" s="1"/>
  <c r="K4" i="3"/>
  <c r="L9" i="3" s="1"/>
  <c r="O9" i="3" s="1"/>
  <c r="M9" i="3"/>
  <c r="K34" i="9"/>
  <c r="J34" i="9" s="1"/>
  <c r="BT12" i="3" s="1" a="1"/>
  <c r="BT12" i="3" s="1"/>
  <c r="O26" i="3"/>
  <c r="CA4" i="3"/>
  <c r="O30" i="3"/>
  <c r="O28" i="3"/>
  <c r="O29" i="3"/>
  <c r="O19" i="3"/>
  <c r="K121" i="9"/>
  <c r="J121" i="9" s="1"/>
  <c r="R19" i="3" s="1"/>
  <c r="O34" i="3"/>
  <c r="K124" i="9"/>
  <c r="J124" i="9" s="1"/>
  <c r="K156" i="9"/>
  <c r="J156" i="9" s="1"/>
  <c r="K174" i="9"/>
  <c r="J174" i="9" s="1"/>
  <c r="K175" i="9"/>
  <c r="J175" i="9" s="1"/>
  <c r="K100" i="9"/>
  <c r="J100" i="9" s="1"/>
  <c r="K104" i="9"/>
  <c r="J104" i="9" s="1"/>
  <c r="K118" i="9"/>
  <c r="J118" i="9" s="1"/>
  <c r="K147" i="9"/>
  <c r="J147" i="9" s="1"/>
  <c r="T10" i="3"/>
  <c r="T12" i="3"/>
  <c r="T9" i="3"/>
  <c r="P40" i="10"/>
  <c r="K5" i="4"/>
  <c r="F20" i="4" s="1"/>
  <c r="F41" i="10"/>
  <c r="L13" i="5"/>
  <c r="F26" i="10"/>
  <c r="AZ42" i="10" s="1"/>
  <c r="F27" i="10"/>
  <c r="F28" i="10"/>
  <c r="F29" i="10"/>
  <c r="F43" i="10"/>
  <c r="AZ53" i="10" s="1"/>
  <c r="F44" i="10"/>
  <c r="G26" i="10"/>
  <c r="G27" i="10"/>
  <c r="G29" i="10"/>
  <c r="G41" i="10"/>
  <c r="G42" i="10"/>
  <c r="G44" i="10"/>
  <c r="F40" i="10"/>
  <c r="CI6" i="10"/>
  <c r="F25" i="10"/>
  <c r="CE25" i="10"/>
  <c r="CE26" i="10"/>
  <c r="CE28" i="10"/>
  <c r="C21" i="10"/>
  <c r="D36" i="10" s="1"/>
  <c r="L9" i="5"/>
  <c r="N9" i="10"/>
  <c r="M16" i="10"/>
  <c r="AZ16" i="10" s="1"/>
  <c r="M18" i="10"/>
  <c r="AZ18" i="10" s="1"/>
  <c r="M15" i="10"/>
  <c r="M17" i="10"/>
  <c r="G43" i="10"/>
  <c r="G40" i="10"/>
  <c r="K17" i="10"/>
  <c r="CE42" i="10"/>
  <c r="CE43" i="10"/>
  <c r="CE40" i="10"/>
  <c r="CE41" i="10"/>
  <c r="C36" i="10"/>
  <c r="L4" i="10"/>
  <c r="M9" i="10" s="1"/>
  <c r="P33" i="10"/>
  <c r="BY50" i="10"/>
  <c r="K63" i="9"/>
  <c r="J63" i="9" s="1"/>
  <c r="BW10" i="10" s="1" a="1"/>
  <c r="BW10" i="10" s="1"/>
  <c r="U10" i="10"/>
  <c r="M11" i="10"/>
  <c r="M12" i="10"/>
  <c r="N11" i="10"/>
  <c r="N12" i="10"/>
  <c r="P32" i="10"/>
  <c r="K151" i="9"/>
  <c r="J151" i="9" s="1"/>
  <c r="K157" i="9"/>
  <c r="J157" i="9" s="1"/>
  <c r="P25" i="10"/>
  <c r="K149" i="9"/>
  <c r="J149" i="9" s="1"/>
  <c r="K158" i="9"/>
  <c r="J158" i="9" s="1"/>
  <c r="K129" i="9"/>
  <c r="J129" i="9" s="1"/>
  <c r="K130" i="9"/>
  <c r="J130" i="9" s="1"/>
  <c r="K111" i="9"/>
  <c r="J111" i="9" s="1"/>
  <c r="K128" i="9"/>
  <c r="J128" i="9" s="1"/>
  <c r="G25" i="10"/>
  <c r="G28" i="10"/>
  <c r="K152" i="9"/>
  <c r="J152" i="9" s="1"/>
  <c r="K117" i="9"/>
  <c r="J117" i="9" s="1"/>
  <c r="P39" i="10"/>
  <c r="P43" i="10"/>
  <c r="K146" i="9"/>
  <c r="J146" i="9" s="1"/>
  <c r="BY51" i="10"/>
  <c r="BY57" i="10"/>
  <c r="BY54" i="10"/>
  <c r="BQ17" i="10"/>
  <c r="BQ34" i="10" s="1"/>
  <c r="BQ50" i="10" s="1"/>
  <c r="BQ67" i="10" s="1"/>
  <c r="M13" i="10"/>
  <c r="BN13" i="10" s="1"/>
  <c r="M14" i="10"/>
  <c r="BN14" i="10" s="1"/>
  <c r="O13" i="10"/>
  <c r="BR13" i="10" s="1"/>
  <c r="L14" i="4"/>
  <c r="BP14" i="4" s="1"/>
  <c r="BP27" i="4" s="1"/>
  <c r="BP40" i="4" s="1"/>
  <c r="BP53" i="4" s="1"/>
  <c r="M14" i="4"/>
  <c r="J14" i="5"/>
  <c r="M15" i="4"/>
  <c r="BS66" i="10"/>
  <c r="BR66" i="10"/>
  <c r="K18" i="10"/>
  <c r="CE27" i="10"/>
  <c r="L10" i="4"/>
  <c r="M10" i="4"/>
  <c r="L11" i="4"/>
  <c r="M11" i="4"/>
  <c r="M12" i="4"/>
  <c r="O33" i="5"/>
  <c r="J14" i="4"/>
  <c r="U12" i="10"/>
  <c r="U13" i="10"/>
  <c r="U14" i="10"/>
  <c r="U15" i="10"/>
  <c r="U16" i="10"/>
  <c r="N4" i="10"/>
  <c r="U11" i="10"/>
  <c r="U9" i="10"/>
  <c r="L9" i="4"/>
  <c r="M9" i="4"/>
  <c r="T10" i="5"/>
  <c r="T11" i="5"/>
  <c r="T12" i="5"/>
  <c r="T13" i="5"/>
  <c r="T9" i="5"/>
  <c r="T10" i="4"/>
  <c r="T11" i="4"/>
  <c r="T12" i="4"/>
  <c r="T13" i="4"/>
  <c r="T15" i="4"/>
  <c r="T9" i="4"/>
  <c r="BV50" i="5"/>
  <c r="K72" i="9"/>
  <c r="J72" i="9" s="1"/>
  <c r="BV51" i="5"/>
  <c r="BV52" i="1" s="1"/>
  <c r="BV57" i="5"/>
  <c r="AY54" i="4" s="1"/>
  <c r="BV54" i="5"/>
  <c r="BV55" i="1" s="1"/>
  <c r="BV56" i="5"/>
  <c r="BV71" i="3" s="1"/>
  <c r="O22" i="4"/>
  <c r="K150" i="9"/>
  <c r="J150" i="9" s="1"/>
  <c r="O23" i="4"/>
  <c r="K136" i="9"/>
  <c r="J136" i="9" s="1"/>
  <c r="O24" i="4"/>
  <c r="K137" i="9"/>
  <c r="J137" i="9" s="1"/>
  <c r="O25" i="4"/>
  <c r="O26" i="4"/>
  <c r="K143" i="9"/>
  <c r="J143" i="9" s="1"/>
  <c r="R26" i="4" s="1"/>
  <c r="O27" i="4"/>
  <c r="O28" i="4"/>
  <c r="O29" i="4"/>
  <c r="O31" i="4"/>
  <c r="K155" i="9"/>
  <c r="J155" i="9" s="1"/>
  <c r="O32" i="4"/>
  <c r="CA5" i="4"/>
  <c r="E20" i="4" s="1"/>
  <c r="G20" i="4"/>
  <c r="G23" i="4"/>
  <c r="G24" i="4"/>
  <c r="O35" i="4"/>
  <c r="N36" i="4"/>
  <c r="O36" i="4"/>
  <c r="K165" i="9"/>
  <c r="O38" i="4"/>
  <c r="G21" i="4"/>
  <c r="G22" i="4"/>
  <c r="L14" i="1"/>
  <c r="BP14" i="1" s="1"/>
  <c r="BP27" i="1" s="1"/>
  <c r="BP42" i="1" s="1"/>
  <c r="BP57" i="1" s="1"/>
  <c r="CA6" i="1"/>
  <c r="E18" i="1" s="1"/>
  <c r="BY56" i="10"/>
  <c r="BY55" i="10"/>
  <c r="BY53" i="10"/>
  <c r="BY52" i="10"/>
  <c r="O26" i="5"/>
  <c r="O45" i="5" s="1"/>
  <c r="R44" i="5" s="1"/>
  <c r="O28" i="5"/>
  <c r="K148" i="9"/>
  <c r="J148" i="9" s="1"/>
  <c r="O30" i="5"/>
  <c r="K107" i="9"/>
  <c r="J107" i="9" s="1"/>
  <c r="O34" i="5"/>
  <c r="CF6" i="5"/>
  <c r="G28" i="5"/>
  <c r="G29" i="5"/>
  <c r="G30" i="5"/>
  <c r="G31" i="5"/>
  <c r="O36" i="5"/>
  <c r="O37" i="5"/>
  <c r="O38" i="5"/>
  <c r="O41" i="5"/>
  <c r="K114" i="9"/>
  <c r="J114" i="9" s="1"/>
  <c r="O44" i="5"/>
  <c r="K134" i="9"/>
  <c r="J134" i="9" s="1"/>
  <c r="O134" i="9"/>
  <c r="K119" i="9"/>
  <c r="J119" i="9" s="1"/>
  <c r="K120" i="9"/>
  <c r="J120" i="9" s="1"/>
  <c r="O118" i="9"/>
  <c r="O119" i="9"/>
  <c r="O120" i="9"/>
  <c r="K181" i="9"/>
  <c r="J181" i="9" s="1"/>
  <c r="O181" i="9"/>
  <c r="K182" i="9"/>
  <c r="J182" i="9" s="1"/>
  <c r="O182" i="9"/>
  <c r="K183" i="9"/>
  <c r="J183" i="9" s="1"/>
  <c r="O183" i="9"/>
  <c r="K172" i="9"/>
  <c r="J172" i="9" s="1"/>
  <c r="O172" i="9"/>
  <c r="K173" i="9"/>
  <c r="J173" i="9" s="1"/>
  <c r="O173" i="9"/>
  <c r="O33" i="3"/>
  <c r="K166" i="9"/>
  <c r="J166" i="9" s="1"/>
  <c r="O166" i="9"/>
  <c r="K162" i="9"/>
  <c r="J162" i="9" s="1"/>
  <c r="O162" i="9"/>
  <c r="K163" i="9"/>
  <c r="J163" i="9" s="1"/>
  <c r="O163" i="9"/>
  <c r="K164" i="9"/>
  <c r="J164" i="9" s="1"/>
  <c r="O164" i="9"/>
  <c r="K153" i="9"/>
  <c r="J153" i="9" s="1"/>
  <c r="O153" i="9"/>
  <c r="K154" i="9"/>
  <c r="J154" i="9" s="1"/>
  <c r="O154" i="9"/>
  <c r="K144" i="9"/>
  <c r="J144" i="9" s="1"/>
  <c r="O144" i="9"/>
  <c r="K145" i="9"/>
  <c r="J145" i="9" s="1"/>
  <c r="O145" i="9"/>
  <c r="K138" i="9"/>
  <c r="J138" i="9" s="1"/>
  <c r="O138" i="9"/>
  <c r="K139" i="9"/>
  <c r="J139" i="9" s="1"/>
  <c r="O139" i="9"/>
  <c r="K140" i="9"/>
  <c r="J140" i="9" s="1"/>
  <c r="O140" i="9"/>
  <c r="K141" i="9"/>
  <c r="J141" i="9" s="1"/>
  <c r="O141" i="9"/>
  <c r="K142" i="9"/>
  <c r="J142" i="9" s="1"/>
  <c r="O142" i="9"/>
  <c r="K133" i="9"/>
  <c r="J133" i="9" s="1"/>
  <c r="O133" i="9"/>
  <c r="K135" i="9"/>
  <c r="J135" i="9" s="1"/>
  <c r="O135" i="9"/>
  <c r="K125" i="9"/>
  <c r="J125" i="9" s="1"/>
  <c r="O125" i="9"/>
  <c r="K126" i="9"/>
  <c r="J126" i="9" s="1"/>
  <c r="O126" i="9"/>
  <c r="K127" i="9"/>
  <c r="J127" i="9" s="1"/>
  <c r="O127" i="9"/>
  <c r="K122" i="9"/>
  <c r="J122" i="9" s="1"/>
  <c r="O122" i="9"/>
  <c r="K123" i="9"/>
  <c r="J123" i="9" s="1"/>
  <c r="O123" i="9"/>
  <c r="K115" i="9"/>
  <c r="J115" i="9" s="1"/>
  <c r="O115" i="9"/>
  <c r="K116" i="9"/>
  <c r="J116" i="9" s="1"/>
  <c r="O116" i="9"/>
  <c r="K112" i="9"/>
  <c r="J112" i="9" s="1"/>
  <c r="O112" i="9"/>
  <c r="K113" i="9"/>
  <c r="J113" i="9" s="1"/>
  <c r="O113" i="9"/>
  <c r="K108" i="9"/>
  <c r="J108" i="9" s="1"/>
  <c r="O108" i="9"/>
  <c r="K109" i="9"/>
  <c r="J109" i="9" s="1"/>
  <c r="O109" i="9"/>
  <c r="K110" i="9"/>
  <c r="J110" i="9" s="1"/>
  <c r="O110" i="9"/>
  <c r="K105" i="9"/>
  <c r="J105" i="9" s="1"/>
  <c r="O105" i="9"/>
  <c r="K106" i="9"/>
  <c r="J106" i="9" s="1"/>
  <c r="O106" i="9"/>
  <c r="K101" i="9"/>
  <c r="J101" i="9" s="1"/>
  <c r="O101" i="9"/>
  <c r="K102" i="9"/>
  <c r="J102" i="9" s="1"/>
  <c r="O102" i="9"/>
  <c r="K13" i="9"/>
  <c r="J13" i="9" s="1"/>
  <c r="K89" i="9"/>
  <c r="J89" i="9" s="1"/>
  <c r="O89" i="9"/>
  <c r="K90" i="9"/>
  <c r="J90" i="9" s="1"/>
  <c r="O90" i="9"/>
  <c r="K91" i="9"/>
  <c r="J91" i="9" s="1"/>
  <c r="O91" i="9"/>
  <c r="K92" i="9"/>
  <c r="J92" i="9" s="1"/>
  <c r="O92" i="9"/>
  <c r="K93" i="9"/>
  <c r="J93" i="9" s="1"/>
  <c r="O93" i="9"/>
  <c r="K76" i="9"/>
  <c r="J76" i="9" s="1"/>
  <c r="O76" i="9"/>
  <c r="K77" i="9"/>
  <c r="J77" i="9" s="1"/>
  <c r="O77" i="9"/>
  <c r="K78" i="9"/>
  <c r="J78" i="9" s="1"/>
  <c r="O78" i="9"/>
  <c r="K79" i="9"/>
  <c r="J79" i="9" s="1"/>
  <c r="O79" i="9"/>
  <c r="K66" i="9"/>
  <c r="J66" i="9" s="1"/>
  <c r="O66" i="9"/>
  <c r="K67" i="9"/>
  <c r="J67" i="9" s="1"/>
  <c r="O67" i="9"/>
  <c r="K68" i="9"/>
  <c r="J68" i="9" s="1"/>
  <c r="O68" i="9"/>
  <c r="K69" i="9"/>
  <c r="J69" i="9" s="1"/>
  <c r="O69" i="9"/>
  <c r="K54" i="9"/>
  <c r="J54" i="9" s="1"/>
  <c r="O54" i="9"/>
  <c r="K55" i="9"/>
  <c r="J55" i="9" s="1"/>
  <c r="O55" i="9"/>
  <c r="K56" i="9"/>
  <c r="J56" i="9" s="1"/>
  <c r="O56" i="9"/>
  <c r="K57" i="9"/>
  <c r="J57" i="9" s="1"/>
  <c r="O57" i="9"/>
  <c r="O44" i="9"/>
  <c r="K44" i="9"/>
  <c r="J44" i="9" s="1"/>
  <c r="O43" i="9"/>
  <c r="K43" i="9"/>
  <c r="J43" i="9" s="1"/>
  <c r="O42" i="9"/>
  <c r="K42" i="9"/>
  <c r="J42" i="9" s="1"/>
  <c r="O41" i="9"/>
  <c r="K41" i="9"/>
  <c r="J41" i="9" s="1"/>
  <c r="K23" i="9"/>
  <c r="J23" i="9" s="1"/>
  <c r="O23" i="9"/>
  <c r="K24" i="9"/>
  <c r="J24" i="9" s="1"/>
  <c r="O24" i="9"/>
  <c r="K25" i="9"/>
  <c r="J25" i="9" s="1"/>
  <c r="O25" i="9"/>
  <c r="K26" i="9"/>
  <c r="J26" i="9" s="1"/>
  <c r="O26" i="9"/>
  <c r="O10" i="9"/>
  <c r="O11" i="9"/>
  <c r="O12" i="9"/>
  <c r="O13" i="9"/>
  <c r="K10" i="9"/>
  <c r="J10" i="9" s="1"/>
  <c r="K11" i="9"/>
  <c r="J11" i="9" s="1"/>
  <c r="L12" i="3"/>
  <c r="M12" i="3"/>
  <c r="L15" i="4"/>
  <c r="BV52" i="5"/>
  <c r="AY49" i="4" s="1"/>
  <c r="BV53" i="5"/>
  <c r="AY50" i="4" s="1"/>
  <c r="BV55" i="5"/>
  <c r="AY52" i="4" s="1"/>
  <c r="O130" i="9"/>
  <c r="O165" i="9"/>
  <c r="O86" i="9"/>
  <c r="K88" i="9"/>
  <c r="J88" i="9" s="1"/>
  <c r="K87" i="9"/>
  <c r="J87" i="9" s="1"/>
  <c r="O88" i="9"/>
  <c r="O87" i="9"/>
  <c r="O124" i="9"/>
  <c r="O72" i="9"/>
  <c r="O73" i="9"/>
  <c r="K73" i="9"/>
  <c r="J73" i="9" s="1"/>
  <c r="K74" i="9"/>
  <c r="J74" i="9" s="1"/>
  <c r="O74" i="9"/>
  <c r="O52" i="9"/>
  <c r="K52" i="9"/>
  <c r="J52" i="9" s="1"/>
  <c r="O21" i="9"/>
  <c r="K21" i="9"/>
  <c r="J21" i="9" s="1"/>
  <c r="K12" i="9"/>
  <c r="J12" i="9" s="1"/>
  <c r="K8" i="9"/>
  <c r="J8" i="9" s="1"/>
  <c r="O8" i="9"/>
  <c r="O39" i="9"/>
  <c r="K39" i="9"/>
  <c r="J39" i="9" s="1"/>
  <c r="K159" i="9"/>
  <c r="J159" i="9" s="1"/>
  <c r="K160" i="9"/>
  <c r="J160" i="9" s="1"/>
  <c r="K75" i="9"/>
  <c r="J75" i="9" s="1"/>
  <c r="K65" i="9"/>
  <c r="J65" i="9" s="1"/>
  <c r="K64" i="9"/>
  <c r="J64" i="9" s="1"/>
  <c r="K53" i="9"/>
  <c r="J53" i="9" s="1"/>
  <c r="K51" i="9"/>
  <c r="J51" i="9" s="1"/>
  <c r="K40" i="9"/>
  <c r="J40" i="9" s="1"/>
  <c r="K33" i="9"/>
  <c r="J33" i="9" s="1"/>
  <c r="BT10" i="4" s="1" a="1"/>
  <c r="BT10" i="4" s="1"/>
  <c r="K35" i="9"/>
  <c r="J35" i="9" s="1"/>
  <c r="BT15" i="4" s="1" a="1"/>
  <c r="BT15" i="4" s="1"/>
  <c r="K36" i="9"/>
  <c r="J36" i="9" s="1"/>
  <c r="K38" i="9"/>
  <c r="J38" i="9" s="1"/>
  <c r="BT13" i="4" s="1" a="1"/>
  <c r="BT13" i="4" s="1"/>
  <c r="AH13" i="4" s="1"/>
  <c r="K22" i="9"/>
  <c r="J22" i="9" s="1"/>
  <c r="K20" i="9"/>
  <c r="J20" i="9" s="1"/>
  <c r="BT12" i="4" s="1" a="1"/>
  <c r="BT12" i="4" s="1"/>
  <c r="O174" i="9"/>
  <c r="O175" i="9"/>
  <c r="O176" i="9"/>
  <c r="O177" i="9"/>
  <c r="O178" i="9"/>
  <c r="O179" i="9"/>
  <c r="O180" i="9"/>
  <c r="O184" i="9"/>
  <c r="O171" i="9"/>
  <c r="O156" i="9"/>
  <c r="O157" i="9"/>
  <c r="O158" i="9"/>
  <c r="O159" i="9"/>
  <c r="O160" i="9"/>
  <c r="O161" i="9"/>
  <c r="O155" i="9"/>
  <c r="O152" i="9"/>
  <c r="O147" i="9"/>
  <c r="O148" i="9"/>
  <c r="O149" i="9"/>
  <c r="O150" i="9"/>
  <c r="O151" i="9"/>
  <c r="O146" i="9"/>
  <c r="O143" i="9"/>
  <c r="O137" i="9"/>
  <c r="O136" i="9"/>
  <c r="O132" i="9"/>
  <c r="O129" i="9"/>
  <c r="O131" i="9"/>
  <c r="O128" i="9"/>
  <c r="O121" i="9"/>
  <c r="O114" i="9"/>
  <c r="O117" i="9"/>
  <c r="O111" i="9"/>
  <c r="O107" i="9"/>
  <c r="O104" i="9"/>
  <c r="O103" i="9"/>
  <c r="O100" i="9"/>
  <c r="O85" i="9"/>
  <c r="O75" i="9"/>
  <c r="O65" i="9"/>
  <c r="O63" i="9"/>
  <c r="O64" i="9"/>
  <c r="O53" i="9"/>
  <c r="O50" i="9"/>
  <c r="O51" i="9"/>
  <c r="O40" i="9"/>
  <c r="O32" i="9"/>
  <c r="O33" i="9"/>
  <c r="O34" i="9"/>
  <c r="O35" i="9"/>
  <c r="O36" i="9"/>
  <c r="O37" i="9"/>
  <c r="O38" i="9"/>
  <c r="O22" i="9"/>
  <c r="O20" i="9"/>
  <c r="O19" i="9"/>
  <c r="O23" i="3"/>
  <c r="C14" i="1"/>
  <c r="O12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J179" i="9"/>
  <c r="CB27" i="5"/>
  <c r="CB28" i="5"/>
  <c r="CB29" i="5"/>
  <c r="CB30" i="5"/>
  <c r="C23" i="5"/>
  <c r="D23" i="5" s="1"/>
  <c r="K7" i="9"/>
  <c r="J7" i="9" s="1"/>
  <c r="O7" i="9"/>
  <c r="O6" i="9"/>
  <c r="O9" i="9"/>
  <c r="K9" i="9"/>
  <c r="J9" i="9" s="1"/>
  <c r="BT11" i="4" l="1" a="1"/>
  <c r="BT11" i="4" s="1"/>
  <c r="N12" i="1"/>
  <c r="BM12" i="1" s="1"/>
  <c r="BL12" i="1" s="1"/>
  <c r="E22" i="3"/>
  <c r="BZ22" i="3" s="1"/>
  <c r="C32" i="3" s="1"/>
  <c r="R21" i="3"/>
  <c r="O31" i="3"/>
  <c r="O32" i="3" s="1"/>
  <c r="AY9" i="3"/>
  <c r="R33" i="3"/>
  <c r="R20" i="3"/>
  <c r="R35" i="3"/>
  <c r="R22" i="3"/>
  <c r="BM14" i="4"/>
  <c r="BM27" i="4" s="1"/>
  <c r="BM40" i="4" s="1"/>
  <c r="BM53" i="4" s="1"/>
  <c r="R22" i="4"/>
  <c r="O10" i="4"/>
  <c r="R10" i="4" s="1"/>
  <c r="BN17" i="10"/>
  <c r="BM17" i="10" s="1"/>
  <c r="BR30" i="10"/>
  <c r="BR46" i="10"/>
  <c r="BN11" i="10"/>
  <c r="BM11" i="10" s="1"/>
  <c r="BT14" i="5" a="1"/>
  <c r="BT14" i="5" s="1"/>
  <c r="H26" i="10"/>
  <c r="H28" i="10"/>
  <c r="H43" i="10"/>
  <c r="BN16" i="10"/>
  <c r="BN33" i="10" s="1"/>
  <c r="BN49" i="10" s="1"/>
  <c r="BN66" i="10" s="1"/>
  <c r="D21" i="10"/>
  <c r="BT10" i="1" a="1"/>
  <c r="BT10" i="1" s="1"/>
  <c r="BW11" i="10" a="1"/>
  <c r="BW11" i="10" s="1"/>
  <c r="BT10" i="5" a="1"/>
  <c r="BT10" i="5" s="1"/>
  <c r="BT12" i="1" a="1"/>
  <c r="BT12" i="1" s="1"/>
  <c r="R12" i="1" s="1"/>
  <c r="BW13" i="10" a="1"/>
  <c r="BW13" i="10" s="1"/>
  <c r="BT11" i="5" a="1"/>
  <c r="BT11" i="5" s="1"/>
  <c r="BT9" i="1" a="1"/>
  <c r="BT9" i="1" s="1"/>
  <c r="BW9" i="10" a="1"/>
  <c r="BW9" i="10" s="1"/>
  <c r="BT9" i="3" a="1"/>
  <c r="BT9" i="3" s="1"/>
  <c r="R9" i="3" s="1"/>
  <c r="BT9" i="5" a="1"/>
  <c r="BT9" i="5" s="1"/>
  <c r="R9" i="5" s="1"/>
  <c r="BT9" i="4" a="1"/>
  <c r="BT9" i="4" s="1"/>
  <c r="BW15" i="10" a="1"/>
  <c r="BW15" i="10" s="1"/>
  <c r="BT10" i="3" a="1"/>
  <c r="BT10" i="3" s="1"/>
  <c r="AH10" i="3" s="1"/>
  <c r="BT13" i="1" a="1"/>
  <c r="BT13" i="1" s="1"/>
  <c r="AH13" i="1" s="1"/>
  <c r="BT13" i="5" a="1"/>
  <c r="BT13" i="5" s="1"/>
  <c r="P31" i="10"/>
  <c r="S31" i="10" s="1"/>
  <c r="P46" i="10"/>
  <c r="S45" i="10" s="1"/>
  <c r="O15" i="10"/>
  <c r="T14" i="1"/>
  <c r="BT14" i="1" a="1"/>
  <c r="BT14" i="1" s="1"/>
  <c r="BM14" i="1"/>
  <c r="BM27" i="1" s="1"/>
  <c r="BM42" i="1" s="1"/>
  <c r="BM57" i="1" s="1"/>
  <c r="F20" i="1"/>
  <c r="F22" i="1"/>
  <c r="AY41" i="1" s="1"/>
  <c r="L10" i="1"/>
  <c r="M10" i="1" s="1"/>
  <c r="N10" i="1" s="1"/>
  <c r="BM10" i="1" s="1"/>
  <c r="BL10" i="1" s="1"/>
  <c r="F19" i="1"/>
  <c r="F21" i="1"/>
  <c r="L13" i="1"/>
  <c r="K11" i="3"/>
  <c r="BT11" i="3" a="1"/>
  <c r="BT11" i="3" s="1"/>
  <c r="BP11" i="3"/>
  <c r="BP21" i="3" s="1"/>
  <c r="BP32" i="3" s="1"/>
  <c r="BP43" i="3" s="1"/>
  <c r="BT14" i="4" a="1"/>
  <c r="BT14" i="4" s="1"/>
  <c r="T14" i="5"/>
  <c r="N11" i="4"/>
  <c r="BM11" i="4" s="1"/>
  <c r="BL11" i="4" s="1"/>
  <c r="AY12" i="3"/>
  <c r="O12" i="3"/>
  <c r="R12" i="3" s="1"/>
  <c r="N14" i="4"/>
  <c r="N14" i="1"/>
  <c r="N12" i="3"/>
  <c r="BO12" i="3" s="1"/>
  <c r="AY16" i="4"/>
  <c r="AY13" i="3"/>
  <c r="O15" i="4"/>
  <c r="R15" i="4" s="1"/>
  <c r="AY14" i="4"/>
  <c r="N11" i="3"/>
  <c r="K14" i="1"/>
  <c r="N15" i="4"/>
  <c r="BO15" i="4" s="1"/>
  <c r="AY15" i="1"/>
  <c r="O34" i="4"/>
  <c r="R34" i="4" s="1"/>
  <c r="O30" i="4"/>
  <c r="R30" i="4" s="1"/>
  <c r="AY14" i="1"/>
  <c r="AY37" i="1"/>
  <c r="O26" i="1"/>
  <c r="R26" i="1" s="1"/>
  <c r="O9" i="1"/>
  <c r="O30" i="1"/>
  <c r="O31" i="1" s="1"/>
  <c r="R31" i="1" s="1"/>
  <c r="AY9" i="1"/>
  <c r="BZ18" i="1"/>
  <c r="C24" i="1" s="1"/>
  <c r="E24" i="1" s="1"/>
  <c r="H22" i="1"/>
  <c r="H18" i="1"/>
  <c r="R23" i="1"/>
  <c r="T11" i="3"/>
  <c r="F24" i="4"/>
  <c r="AY42" i="4" s="1"/>
  <c r="L13" i="4"/>
  <c r="BM13" i="4" s="1"/>
  <c r="BM26" i="4" s="1"/>
  <c r="F22" i="4"/>
  <c r="AY40" i="4" s="1"/>
  <c r="O9" i="4"/>
  <c r="AY38" i="4"/>
  <c r="F23" i="4"/>
  <c r="AY41" i="4" s="1"/>
  <c r="F21" i="4"/>
  <c r="AY15" i="4"/>
  <c r="O11" i="4"/>
  <c r="R11" i="4" s="1"/>
  <c r="H21" i="4"/>
  <c r="R23" i="4"/>
  <c r="N10" i="4"/>
  <c r="BM10" i="4"/>
  <c r="BM23" i="4" s="1"/>
  <c r="AY9" i="4"/>
  <c r="AY39" i="4"/>
  <c r="L12" i="4"/>
  <c r="R31" i="4"/>
  <c r="K14" i="4"/>
  <c r="T14" i="4"/>
  <c r="E40" i="10"/>
  <c r="CE39" i="10" s="1"/>
  <c r="E25" i="10"/>
  <c r="CE24" i="10" s="1"/>
  <c r="C33" i="10" s="1"/>
  <c r="BV56" i="1"/>
  <c r="BV70" i="3"/>
  <c r="BV66" i="3"/>
  <c r="BV65" i="3"/>
  <c r="K14" i="5"/>
  <c r="F22" i="3"/>
  <c r="AY11" i="3"/>
  <c r="F23" i="3"/>
  <c r="R34" i="3"/>
  <c r="F26" i="3"/>
  <c r="F24" i="3"/>
  <c r="F25" i="3"/>
  <c r="L10" i="3"/>
  <c r="O21" i="5"/>
  <c r="R42" i="5"/>
  <c r="G27" i="5"/>
  <c r="O27" i="5"/>
  <c r="R27" i="5" s="1"/>
  <c r="BM10" i="5"/>
  <c r="R24" i="5"/>
  <c r="BM13" i="5"/>
  <c r="BL25" i="1"/>
  <c r="BD12" i="1"/>
  <c r="BM25" i="1"/>
  <c r="BL23" i="1"/>
  <c r="BK9" i="4"/>
  <c r="BX20" i="4"/>
  <c r="H20" i="4"/>
  <c r="AY48" i="4"/>
  <c r="AY47" i="4"/>
  <c r="BV54" i="1"/>
  <c r="BV68" i="3"/>
  <c r="BV67" i="3"/>
  <c r="BV69" i="3"/>
  <c r="BV57" i="1"/>
  <c r="AY53" i="4"/>
  <c r="AY51" i="4"/>
  <c r="F30" i="5"/>
  <c r="H30" i="5" s="1"/>
  <c r="R31" i="5"/>
  <c r="N11" i="5"/>
  <c r="N10" i="5"/>
  <c r="F27" i="5"/>
  <c r="F29" i="5"/>
  <c r="F31" i="5"/>
  <c r="F28" i="5"/>
  <c r="L14" i="5"/>
  <c r="BP14" i="5" s="1"/>
  <c r="BP26" i="5" s="1"/>
  <c r="BP38" i="5" s="1"/>
  <c r="BP49" i="5" s="1"/>
  <c r="R30" i="5"/>
  <c r="AY9" i="5"/>
  <c r="O39" i="5"/>
  <c r="O40" i="5" s="1"/>
  <c r="R40" i="5" s="1"/>
  <c r="O9" i="5"/>
  <c r="E27" i="5"/>
  <c r="H44" i="10"/>
  <c r="BN12" i="10"/>
  <c r="BN29" i="10" s="1"/>
  <c r="BN45" i="10" s="1"/>
  <c r="BN62" i="10" s="1"/>
  <c r="BN30" i="10"/>
  <c r="BN46" i="10" s="1"/>
  <c r="BN63" i="10" s="1"/>
  <c r="BM13" i="10"/>
  <c r="BM30" i="10" s="1"/>
  <c r="P28" i="10"/>
  <c r="S28" i="10" s="1"/>
  <c r="P27" i="10"/>
  <c r="S27" i="10" s="1"/>
  <c r="AZ44" i="10"/>
  <c r="AZ54" i="10"/>
  <c r="AZ15" i="10"/>
  <c r="H27" i="10"/>
  <c r="BN31" i="10"/>
  <c r="BN47" i="10" s="1"/>
  <c r="BN64" i="10" s="1"/>
  <c r="BM14" i="10"/>
  <c r="BM31" i="10" s="1"/>
  <c r="BM47" i="10" s="1"/>
  <c r="BM64" i="10" s="1"/>
  <c r="AZ51" i="10"/>
  <c r="H41" i="10"/>
  <c r="O11" i="10"/>
  <c r="BR11" i="10" s="1"/>
  <c r="F42" i="10"/>
  <c r="P41" i="10"/>
  <c r="P42" i="10" s="1"/>
  <c r="S42" i="10" s="1"/>
  <c r="AZ9" i="10"/>
  <c r="P9" i="10"/>
  <c r="M10" i="10"/>
  <c r="AZ17" i="10"/>
  <c r="BV72" i="3"/>
  <c r="R36" i="4"/>
  <c r="BV51" i="1"/>
  <c r="BV53" i="1"/>
  <c r="BV58" i="1"/>
  <c r="BN18" i="10"/>
  <c r="BN35" i="10" s="1"/>
  <c r="BN51" i="10" s="1"/>
  <c r="BN68" i="10" s="1"/>
  <c r="U18" i="10"/>
  <c r="U17" i="10"/>
  <c r="BQ18" i="10"/>
  <c r="BP18" i="10" s="1"/>
  <c r="BP35" i="10" s="1"/>
  <c r="BP51" i="10" s="1"/>
  <c r="BP68" i="10" s="1"/>
  <c r="BP17" i="10"/>
  <c r="O17" i="10"/>
  <c r="AZ19" i="10"/>
  <c r="AZ20" i="10"/>
  <c r="R24" i="1"/>
  <c r="R25" i="3"/>
  <c r="R25" i="4"/>
  <c r="R24" i="4"/>
  <c r="S43" i="10"/>
  <c r="R41" i="5"/>
  <c r="R28" i="5"/>
  <c r="S32" i="10"/>
  <c r="R25" i="5"/>
  <c r="S29" i="10"/>
  <c r="R38" i="4"/>
  <c r="R24" i="3"/>
  <c r="R29" i="4"/>
  <c r="R26" i="3"/>
  <c r="R25" i="1"/>
  <c r="R32" i="4"/>
  <c r="R34" i="5"/>
  <c r="S34" i="10"/>
  <c r="R32" i="5"/>
  <c r="S44" i="10"/>
  <c r="R43" i="5"/>
  <c r="S25" i="10"/>
  <c r="R27" i="4"/>
  <c r="J165" i="9"/>
  <c r="R31" i="3"/>
  <c r="R29" i="3"/>
  <c r="S39" i="10"/>
  <c r="R28" i="1"/>
  <c r="R37" i="5"/>
  <c r="S26" i="10"/>
  <c r="R23" i="3"/>
  <c r="R28" i="4"/>
  <c r="S30" i="10"/>
  <c r="R26" i="5"/>
  <c r="S33" i="10"/>
  <c r="R29" i="5"/>
  <c r="R32" i="3"/>
  <c r="R37" i="4"/>
  <c r="R38" i="5"/>
  <c r="R29" i="1"/>
  <c r="S40" i="10"/>
  <c r="R35" i="4"/>
  <c r="R30" i="3"/>
  <c r="R36" i="5"/>
  <c r="R27" i="1"/>
  <c r="R28" i="3"/>
  <c r="H29" i="10"/>
  <c r="AZ45" i="10"/>
  <c r="P36" i="10"/>
  <c r="S36" i="10" s="1"/>
  <c r="BN15" i="10"/>
  <c r="AZ43" i="10"/>
  <c r="BD10" i="1" l="1"/>
  <c r="O10" i="1"/>
  <c r="R10" i="1" s="1"/>
  <c r="R9" i="1"/>
  <c r="AH9" i="1" s="1"/>
  <c r="C28" i="3"/>
  <c r="E28" i="3" s="1"/>
  <c r="BE12" i="3"/>
  <c r="H24" i="4"/>
  <c r="AY43" i="4"/>
  <c r="H22" i="4"/>
  <c r="BN28" i="10"/>
  <c r="BN44" i="10" s="1"/>
  <c r="BN61" i="10" s="1"/>
  <c r="BM46" i="10"/>
  <c r="BQ19" i="10"/>
  <c r="BP19" i="10" s="1"/>
  <c r="BF17" i="10"/>
  <c r="BC17" i="10"/>
  <c r="BN34" i="10"/>
  <c r="BN50" i="10" s="1"/>
  <c r="BN67" i="10" s="1"/>
  <c r="BM28" i="10"/>
  <c r="BR63" i="10"/>
  <c r="BM16" i="10"/>
  <c r="BM33" i="10" s="1"/>
  <c r="BM49" i="10" s="1"/>
  <c r="BM66" i="10" s="1"/>
  <c r="BP13" i="10"/>
  <c r="S9" i="10"/>
  <c r="AZ50" i="10"/>
  <c r="BM18" i="10"/>
  <c r="BM35" i="10" s="1"/>
  <c r="BM51" i="10" s="1"/>
  <c r="BM68" i="10" s="1"/>
  <c r="R9" i="4"/>
  <c r="AH9" i="4" s="1"/>
  <c r="BL24" i="4"/>
  <c r="BM24" i="4"/>
  <c r="BL14" i="1"/>
  <c r="BO14" i="1"/>
  <c r="BM23" i="1"/>
  <c r="H19" i="1"/>
  <c r="AY38" i="1"/>
  <c r="AH12" i="1"/>
  <c r="BM13" i="1"/>
  <c r="AY13" i="1"/>
  <c r="AY17" i="1" s="1"/>
  <c r="AY18" i="1" s="1"/>
  <c r="N13" i="1"/>
  <c r="L15" i="1"/>
  <c r="AH10" i="1"/>
  <c r="H21" i="1"/>
  <c r="AY40" i="1"/>
  <c r="H20" i="1"/>
  <c r="AY39" i="1"/>
  <c r="BO11" i="3"/>
  <c r="BK11" i="3" s="1"/>
  <c r="BL11" i="3"/>
  <c r="BJ11" i="3" s="1"/>
  <c r="BO14" i="4"/>
  <c r="BK14" i="4" s="1"/>
  <c r="AF14" i="4" s="1"/>
  <c r="AT14" i="4" s="1"/>
  <c r="BL14" i="4"/>
  <c r="BJ14" i="4" s="1"/>
  <c r="AE14" i="4" s="1"/>
  <c r="AS14" i="4" s="1"/>
  <c r="BE11" i="4"/>
  <c r="AH11" i="4" s="1"/>
  <c r="BO22" i="3"/>
  <c r="BK22" i="3" s="1"/>
  <c r="BP12" i="3"/>
  <c r="BP22" i="3" s="1"/>
  <c r="BP15" i="4"/>
  <c r="BP28" i="4" s="1"/>
  <c r="BE22" i="3"/>
  <c r="R30" i="1"/>
  <c r="R32" i="1" s="1"/>
  <c r="C28" i="1"/>
  <c r="O33" i="4"/>
  <c r="R33" i="4" s="1"/>
  <c r="R39" i="4" s="1"/>
  <c r="N13" i="4"/>
  <c r="BL13" i="4" s="1"/>
  <c r="BF13" i="4" s="1"/>
  <c r="AY13" i="4"/>
  <c r="AY17" i="4" s="1"/>
  <c r="AY18" i="4" s="1"/>
  <c r="H40" i="4" s="1"/>
  <c r="H23" i="4"/>
  <c r="H25" i="4" s="1"/>
  <c r="BO28" i="4"/>
  <c r="BE15" i="4"/>
  <c r="O12" i="4"/>
  <c r="R12" i="4" s="1"/>
  <c r="N12" i="4"/>
  <c r="BL10" i="4"/>
  <c r="H40" i="10"/>
  <c r="C46" i="10"/>
  <c r="D46" i="10" s="1"/>
  <c r="C48" i="10"/>
  <c r="S35" i="10"/>
  <c r="P38" i="10"/>
  <c r="S38" i="10" s="1"/>
  <c r="H22" i="3"/>
  <c r="O27" i="3"/>
  <c r="R27" i="3" s="1"/>
  <c r="R36" i="3" s="1"/>
  <c r="AY28" i="3"/>
  <c r="AY31" i="3"/>
  <c r="H25" i="3"/>
  <c r="AY32" i="3"/>
  <c r="H26" i="3"/>
  <c r="AY10" i="3"/>
  <c r="AY14" i="3" s="1"/>
  <c r="N10" i="3"/>
  <c r="BM10" i="3"/>
  <c r="AY30" i="3"/>
  <c r="H24" i="3"/>
  <c r="AY29" i="3"/>
  <c r="H23" i="3"/>
  <c r="O22" i="5"/>
  <c r="R22" i="5" s="1"/>
  <c r="O23" i="5"/>
  <c r="R23" i="5" s="1"/>
  <c r="R21" i="5"/>
  <c r="AY13" i="5"/>
  <c r="AY35" i="5"/>
  <c r="N13" i="5"/>
  <c r="BL13" i="5" s="1"/>
  <c r="R33" i="5"/>
  <c r="BE24" i="4"/>
  <c r="BD25" i="1"/>
  <c r="BD23" i="1"/>
  <c r="C30" i="4"/>
  <c r="C26" i="4"/>
  <c r="E26" i="4" s="1"/>
  <c r="BL11" i="5"/>
  <c r="R39" i="5"/>
  <c r="H29" i="5"/>
  <c r="AY34" i="5"/>
  <c r="BM25" i="5"/>
  <c r="BM37" i="5" s="1"/>
  <c r="BM48" i="5" s="1"/>
  <c r="BM14" i="5"/>
  <c r="AY14" i="5"/>
  <c r="AY15" i="5"/>
  <c r="N14" i="5"/>
  <c r="BL10" i="5"/>
  <c r="H28" i="5"/>
  <c r="AY33" i="5"/>
  <c r="H31" i="5"/>
  <c r="AY36" i="5"/>
  <c r="BK9" i="5"/>
  <c r="CB26" i="5"/>
  <c r="O35" i="5"/>
  <c r="R35" i="5" s="1"/>
  <c r="H27" i="5"/>
  <c r="AY32" i="5"/>
  <c r="BM12" i="10"/>
  <c r="P37" i="10"/>
  <c r="S37" i="10" s="1"/>
  <c r="H25" i="10"/>
  <c r="H30" i="10" s="1"/>
  <c r="C31" i="10"/>
  <c r="D31" i="10" s="1"/>
  <c r="AZ41" i="10"/>
  <c r="AZ46" i="10" s="1"/>
  <c r="S41" i="10"/>
  <c r="BQ35" i="10"/>
  <c r="BQ51" i="10" s="1"/>
  <c r="BQ68" i="10" s="1"/>
  <c r="BR28" i="10"/>
  <c r="AZ52" i="10"/>
  <c r="H42" i="10"/>
  <c r="P10" i="10"/>
  <c r="S10" i="10" s="1"/>
  <c r="AZ10" i="10"/>
  <c r="AZ22" i="10" s="1"/>
  <c r="BL9" i="10"/>
  <c r="BP34" i="10"/>
  <c r="BQ36" i="10" s="1"/>
  <c r="BP36" i="10" s="1"/>
  <c r="BM34" i="10"/>
  <c r="AH9" i="5"/>
  <c r="BM15" i="10"/>
  <c r="BN32" i="10"/>
  <c r="BN48" i="10" s="1"/>
  <c r="BN65" i="10" s="1"/>
  <c r="BE34" i="10" l="1"/>
  <c r="BB14" i="1"/>
  <c r="BK14" i="1"/>
  <c r="BJ14" i="1"/>
  <c r="AZ14" i="1"/>
  <c r="U14" i="1" s="1"/>
  <c r="AI14" i="1" s="1"/>
  <c r="BK12" i="3"/>
  <c r="BM44" i="10"/>
  <c r="BP30" i="10"/>
  <c r="BK30" i="10" s="1"/>
  <c r="BK13" i="10"/>
  <c r="BM63" i="10"/>
  <c r="BN19" i="10"/>
  <c r="BM19" i="10" s="1"/>
  <c r="BL67" i="10"/>
  <c r="BL34" i="10"/>
  <c r="BL50" i="10"/>
  <c r="BN36" i="10"/>
  <c r="BM36" i="10" s="1"/>
  <c r="BI34" i="10" s="1"/>
  <c r="BH34" i="10"/>
  <c r="BH67" i="10"/>
  <c r="BL17" i="10"/>
  <c r="BH17" i="10"/>
  <c r="BC34" i="10"/>
  <c r="BF34" i="10"/>
  <c r="BL26" i="10"/>
  <c r="AG9" i="10"/>
  <c r="BJ11" i="5"/>
  <c r="BL46" i="5"/>
  <c r="BL35" i="5"/>
  <c r="BL23" i="5"/>
  <c r="BR44" i="10"/>
  <c r="BB34" i="10"/>
  <c r="W17" i="10" s="1"/>
  <c r="AK17" i="10" s="1"/>
  <c r="BD17" i="10"/>
  <c r="Y17" i="10" s="1"/>
  <c r="AM17" i="10" s="1"/>
  <c r="AD17" i="10"/>
  <c r="AR17" i="10" s="1"/>
  <c r="BA17" i="10"/>
  <c r="V17" i="10" s="1"/>
  <c r="AJ17" i="10" s="1"/>
  <c r="BP50" i="10"/>
  <c r="BM50" i="10"/>
  <c r="AI9" i="10"/>
  <c r="AF9" i="5"/>
  <c r="BK33" i="5"/>
  <c r="BK21" i="5"/>
  <c r="BK44" i="5"/>
  <c r="P15" i="10"/>
  <c r="S15" i="10" s="1"/>
  <c r="P17" i="10"/>
  <c r="S17" i="10" s="1"/>
  <c r="BE13" i="10"/>
  <c r="AZ55" i="10"/>
  <c r="H47" i="10" s="1"/>
  <c r="AZ13" i="4"/>
  <c r="O13" i="4"/>
  <c r="R13" i="4" s="1"/>
  <c r="AZ21" i="10"/>
  <c r="H32" i="10" s="1"/>
  <c r="H45" i="10"/>
  <c r="BO27" i="1"/>
  <c r="BG14" i="1"/>
  <c r="BE14" i="1"/>
  <c r="BC14" i="1"/>
  <c r="X14" i="1" s="1"/>
  <c r="AL14" i="1" s="1"/>
  <c r="BI14" i="1"/>
  <c r="AD14" i="1" s="1"/>
  <c r="AR14" i="1" s="1"/>
  <c r="BL27" i="1"/>
  <c r="BF14" i="1"/>
  <c r="AA14" i="1" s="1"/>
  <c r="AO14" i="1" s="1"/>
  <c r="O14" i="1"/>
  <c r="R14" i="1" s="1"/>
  <c r="AY42" i="1"/>
  <c r="H33" i="1" s="1"/>
  <c r="H23" i="1"/>
  <c r="N15" i="1"/>
  <c r="O15" i="1"/>
  <c r="R15" i="1" s="1"/>
  <c r="BL13" i="1"/>
  <c r="BM26" i="1"/>
  <c r="O13" i="1"/>
  <c r="R13" i="1" s="1"/>
  <c r="AZ11" i="3"/>
  <c r="U11" i="3" s="1"/>
  <c r="BL21" i="3"/>
  <c r="BL32" i="3" s="1"/>
  <c r="BC11" i="3"/>
  <c r="BF11" i="3"/>
  <c r="O11" i="3"/>
  <c r="R11" i="3" s="1"/>
  <c r="BI11" i="3"/>
  <c r="BO21" i="3"/>
  <c r="BO32" i="3" s="1"/>
  <c r="BE11" i="3"/>
  <c r="BG11" i="3"/>
  <c r="BB11" i="3"/>
  <c r="W11" i="3" s="1"/>
  <c r="BL27" i="4"/>
  <c r="O14" i="4"/>
  <c r="R14" i="4" s="1"/>
  <c r="BF14" i="4"/>
  <c r="AA14" i="4" s="1"/>
  <c r="AO14" i="4" s="1"/>
  <c r="AZ14" i="4"/>
  <c r="U14" i="4" s="1"/>
  <c r="BI14" i="4"/>
  <c r="AD14" i="4" s="1"/>
  <c r="AR14" i="4" s="1"/>
  <c r="BC14" i="4"/>
  <c r="X14" i="4" s="1"/>
  <c r="AL14" i="4" s="1"/>
  <c r="BO27" i="4"/>
  <c r="BE14" i="4"/>
  <c r="Z14" i="4" s="1"/>
  <c r="AN14" i="4" s="1"/>
  <c r="BG14" i="4"/>
  <c r="AB14" i="4" s="1"/>
  <c r="AP14" i="4" s="1"/>
  <c r="BB14" i="4"/>
  <c r="W14" i="4" s="1"/>
  <c r="AY15" i="3"/>
  <c r="AH15" i="4"/>
  <c r="BC13" i="4"/>
  <c r="BI13" i="4"/>
  <c r="BL26" i="4"/>
  <c r="BD26" i="4" s="1"/>
  <c r="BD10" i="4"/>
  <c r="BL23" i="4"/>
  <c r="BE28" i="4"/>
  <c r="BM12" i="4"/>
  <c r="BM25" i="4" s="1"/>
  <c r="AY17" i="5"/>
  <c r="AY18" i="5" s="1"/>
  <c r="AH9" i="3"/>
  <c r="S46" i="10"/>
  <c r="BL10" i="3"/>
  <c r="BM20" i="3"/>
  <c r="AY33" i="3"/>
  <c r="H27" i="3"/>
  <c r="R45" i="5"/>
  <c r="BD11" i="5"/>
  <c r="O11" i="5"/>
  <c r="R11" i="5" s="1"/>
  <c r="AY37" i="5"/>
  <c r="BC13" i="5"/>
  <c r="X13" i="5" s="1"/>
  <c r="AL13" i="5" s="1"/>
  <c r="BI13" i="5"/>
  <c r="AD13" i="5" s="1"/>
  <c r="AR13" i="5" s="1"/>
  <c r="BF13" i="5"/>
  <c r="AA13" i="5" s="1"/>
  <c r="AO13" i="5" s="1"/>
  <c r="BL25" i="5"/>
  <c r="BL37" i="5" s="1"/>
  <c r="BL48" i="5" s="1"/>
  <c r="AZ13" i="5"/>
  <c r="U13" i="5" s="1"/>
  <c r="BM26" i="5"/>
  <c r="BM38" i="5" s="1"/>
  <c r="BM49" i="5" s="1"/>
  <c r="H32" i="5"/>
  <c r="BD10" i="5"/>
  <c r="BL14" i="5"/>
  <c r="BJ14" i="5" s="1"/>
  <c r="BO14" i="5"/>
  <c r="BK14" i="5" s="1"/>
  <c r="O13" i="5"/>
  <c r="R13" i="5" s="1"/>
  <c r="O10" i="5"/>
  <c r="R10" i="5" s="1"/>
  <c r="C33" i="5"/>
  <c r="D33" i="5" s="1"/>
  <c r="C37" i="5"/>
  <c r="BM29" i="10"/>
  <c r="BM45" i="10" s="1"/>
  <c r="BM62" i="10" s="1"/>
  <c r="BP11" i="10"/>
  <c r="BE11" i="10" s="1"/>
  <c r="BL10" i="10"/>
  <c r="BD15" i="10"/>
  <c r="Y15" i="10" s="1"/>
  <c r="AM15" i="10" s="1"/>
  <c r="BJ15" i="10"/>
  <c r="AE15" i="10" s="1"/>
  <c r="AS15" i="10" s="1"/>
  <c r="BM32" i="10"/>
  <c r="BM48" i="10" s="1"/>
  <c r="BP15" i="10"/>
  <c r="BK15" i="10" s="1"/>
  <c r="BA15" i="10"/>
  <c r="V15" i="10" s="1"/>
  <c r="BG15" i="10"/>
  <c r="AB15" i="10" s="1"/>
  <c r="AP15" i="10" s="1"/>
  <c r="BK67" i="10" l="1"/>
  <c r="BK34" i="10"/>
  <c r="BK50" i="10"/>
  <c r="BK17" i="10"/>
  <c r="BA27" i="4"/>
  <c r="BJ27" i="4"/>
  <c r="BH27" i="4"/>
  <c r="BD27" i="4"/>
  <c r="BB27" i="4"/>
  <c r="BE27" i="4"/>
  <c r="BK27" i="4"/>
  <c r="BG27" i="4"/>
  <c r="X11" i="3"/>
  <c r="AL11" i="3" s="1"/>
  <c r="AD11" i="3"/>
  <c r="AR11" i="3" s="1"/>
  <c r="AB11" i="3"/>
  <c r="AP11" i="3" s="1"/>
  <c r="AA11" i="3"/>
  <c r="AO11" i="3" s="1"/>
  <c r="BO42" i="1"/>
  <c r="BE27" i="1"/>
  <c r="BB27" i="1"/>
  <c r="BK27" i="1"/>
  <c r="BG27" i="1"/>
  <c r="BH27" i="1"/>
  <c r="BL42" i="1"/>
  <c r="BD27" i="1"/>
  <c r="BA27" i="1"/>
  <c r="V14" i="1" s="1"/>
  <c r="AJ14" i="1" s="1"/>
  <c r="BJ27" i="1"/>
  <c r="BE32" i="3"/>
  <c r="Z11" i="3" s="1"/>
  <c r="BK32" i="3"/>
  <c r="AF11" i="3" s="1"/>
  <c r="AT11" i="3" s="1"/>
  <c r="BD32" i="3"/>
  <c r="Y11" i="3" s="1"/>
  <c r="AM11" i="3" s="1"/>
  <c r="BJ32" i="3"/>
  <c r="AE11" i="3" s="1"/>
  <c r="AS11" i="3" s="1"/>
  <c r="AN11" i="3"/>
  <c r="AI11" i="3"/>
  <c r="BO43" i="3"/>
  <c r="AK11" i="3"/>
  <c r="BL43" i="3"/>
  <c r="BE21" i="3"/>
  <c r="BK21" i="3"/>
  <c r="BG21" i="3"/>
  <c r="BB21" i="3"/>
  <c r="O10" i="3"/>
  <c r="R10" i="3" s="1"/>
  <c r="R13" i="3" s="1"/>
  <c r="R38" i="3" s="1"/>
  <c r="BJ10" i="3"/>
  <c r="BA21" i="3"/>
  <c r="BD21" i="3"/>
  <c r="BJ21" i="3"/>
  <c r="BH21" i="3"/>
  <c r="BL40" i="4"/>
  <c r="AI14" i="4"/>
  <c r="BO40" i="4"/>
  <c r="AW15" i="4"/>
  <c r="AK14" i="4"/>
  <c r="BP46" i="10"/>
  <c r="BK46" i="10" s="1"/>
  <c r="BE30" i="10"/>
  <c r="BM61" i="10"/>
  <c r="BE50" i="10"/>
  <c r="BN52" i="10"/>
  <c r="BM52" i="10" s="1"/>
  <c r="BF50" i="10"/>
  <c r="BQ52" i="10"/>
  <c r="BP52" i="10" s="1"/>
  <c r="BG17" i="10"/>
  <c r="AB17" i="10" s="1"/>
  <c r="AP17" i="10" s="1"/>
  <c r="BJ17" i="10"/>
  <c r="AE17" i="10" s="1"/>
  <c r="AS17" i="10" s="1"/>
  <c r="BL42" i="10"/>
  <c r="BL59" i="10" s="1"/>
  <c r="AG10" i="10"/>
  <c r="BL27" i="10"/>
  <c r="BK11" i="10"/>
  <c r="BD46" i="5"/>
  <c r="BD35" i="5"/>
  <c r="BD23" i="5"/>
  <c r="BJ23" i="5"/>
  <c r="BJ46" i="5"/>
  <c r="BJ35" i="5"/>
  <c r="BR61" i="10"/>
  <c r="BE48" i="10"/>
  <c r="BM65" i="10"/>
  <c r="AJ15" i="10"/>
  <c r="BP63" i="10"/>
  <c r="BE63" i="10" s="1"/>
  <c r="Z13" i="10" s="1"/>
  <c r="BE46" i="10"/>
  <c r="BP67" i="10"/>
  <c r="BQ69" i="10" s="1"/>
  <c r="BP69" i="10" s="1"/>
  <c r="BM67" i="10"/>
  <c r="AE13" i="5"/>
  <c r="AS13" i="5" s="1"/>
  <c r="Y13" i="5"/>
  <c r="AM13" i="5" s="1"/>
  <c r="AI13" i="5"/>
  <c r="BH26" i="4"/>
  <c r="BA26" i="4"/>
  <c r="AH10" i="4"/>
  <c r="AH12" i="3"/>
  <c r="R16" i="1"/>
  <c r="R34" i="1" s="1"/>
  <c r="BF13" i="1"/>
  <c r="BC13" i="1"/>
  <c r="BI13" i="1"/>
  <c r="BL26" i="1"/>
  <c r="AZ13" i="1"/>
  <c r="BP15" i="1"/>
  <c r="BP28" i="1" s="1"/>
  <c r="BO15" i="1"/>
  <c r="BR11" i="3"/>
  <c r="R16" i="4"/>
  <c r="R41" i="4" s="1"/>
  <c r="H37" i="3"/>
  <c r="BL12" i="4"/>
  <c r="BL25" i="4" s="1"/>
  <c r="BD23" i="4"/>
  <c r="BF10" i="3"/>
  <c r="BL20" i="3"/>
  <c r="BJ20" i="3" s="1"/>
  <c r="BC10" i="3"/>
  <c r="AZ10" i="3"/>
  <c r="BI10" i="3"/>
  <c r="H46" i="5"/>
  <c r="BO26" i="5"/>
  <c r="BK26" i="5" s="1"/>
  <c r="BG14" i="5"/>
  <c r="AB14" i="5" s="1"/>
  <c r="AP14" i="5" s="1"/>
  <c r="BE14" i="5"/>
  <c r="BB14" i="5"/>
  <c r="BI14" i="5"/>
  <c r="AD14" i="5" s="1"/>
  <c r="AR14" i="5" s="1"/>
  <c r="AZ14" i="5"/>
  <c r="BL26" i="5"/>
  <c r="BJ26" i="5" s="1"/>
  <c r="BC14" i="5"/>
  <c r="X14" i="5" s="1"/>
  <c r="AL14" i="5" s="1"/>
  <c r="BF14" i="5"/>
  <c r="AA14" i="5" s="1"/>
  <c r="AO14" i="5" s="1"/>
  <c r="BA25" i="5"/>
  <c r="BH25" i="5"/>
  <c r="BD25" i="5"/>
  <c r="O14" i="5"/>
  <c r="R14" i="5" s="1"/>
  <c r="BP28" i="10"/>
  <c r="AI10" i="10"/>
  <c r="BE32" i="10"/>
  <c r="BP32" i="10"/>
  <c r="BB32" i="10"/>
  <c r="BI32" i="10"/>
  <c r="BJ40" i="4" l="1"/>
  <c r="BD40" i="4"/>
  <c r="BE40" i="4"/>
  <c r="BK40" i="4"/>
  <c r="AW12" i="3"/>
  <c r="AC14" i="1"/>
  <c r="AQ14" i="1" s="1"/>
  <c r="BD42" i="1"/>
  <c r="BL57" i="1"/>
  <c r="BJ42" i="1"/>
  <c r="BE42" i="1"/>
  <c r="BO57" i="1"/>
  <c r="BK42" i="1"/>
  <c r="BQ11" i="3"/>
  <c r="AV12" i="3"/>
  <c r="BK43" i="3"/>
  <c r="BB43" i="3"/>
  <c r="BG43" i="3"/>
  <c r="BE43" i="3"/>
  <c r="BJ43" i="3"/>
  <c r="BD43" i="3"/>
  <c r="AH11" i="3"/>
  <c r="AH13" i="3" s="1"/>
  <c r="AH15" i="3" s="1"/>
  <c r="AU11" i="3"/>
  <c r="AG11" i="3" s="1"/>
  <c r="BL53" i="4"/>
  <c r="BO53" i="4"/>
  <c r="AN13" i="10"/>
  <c r="BE28" i="10"/>
  <c r="BK28" i="10"/>
  <c r="BP48" i="10"/>
  <c r="BK48" i="10" s="1"/>
  <c r="BK32" i="10"/>
  <c r="BK63" i="10"/>
  <c r="AF13" i="10" s="1"/>
  <c r="AI13" i="10" s="1"/>
  <c r="BN69" i="10"/>
  <c r="BM69" i="10" s="1"/>
  <c r="BF67" i="10"/>
  <c r="AA17" i="10" s="1"/>
  <c r="AO17" i="10" s="1"/>
  <c r="BC67" i="10"/>
  <c r="BL43" i="10"/>
  <c r="BL60" i="10" s="1"/>
  <c r="BE65" i="10"/>
  <c r="Z15" i="10" s="1"/>
  <c r="AN15" i="10" s="1"/>
  <c r="BP65" i="10"/>
  <c r="BK65" i="10" s="1"/>
  <c r="AF15" i="10" s="1"/>
  <c r="AT15" i="10" s="1"/>
  <c r="BR67" i="10"/>
  <c r="BE67" i="10"/>
  <c r="Z17" i="10" s="1"/>
  <c r="AN17" i="10" s="1"/>
  <c r="BP44" i="10"/>
  <c r="AF17" i="10"/>
  <c r="AT17" i="10" s="1"/>
  <c r="BS67" i="10"/>
  <c r="X17" i="10"/>
  <c r="AC17" i="10"/>
  <c r="AQ17" i="10" s="1"/>
  <c r="AE10" i="5"/>
  <c r="AS10" i="5" s="1"/>
  <c r="AU13" i="5"/>
  <c r="AG13" i="5" s="1"/>
  <c r="Y10" i="5"/>
  <c r="AH13" i="5"/>
  <c r="BO38" i="5"/>
  <c r="BK38" i="5" s="1"/>
  <c r="BB26" i="5"/>
  <c r="BL38" i="5"/>
  <c r="BJ38" i="5" s="1"/>
  <c r="BA26" i="5"/>
  <c r="AE11" i="5"/>
  <c r="AS11" i="5" s="1"/>
  <c r="Y11" i="5"/>
  <c r="AM11" i="5" s="1"/>
  <c r="U14" i="5"/>
  <c r="W14" i="5"/>
  <c r="BO28" i="1"/>
  <c r="BE15" i="1"/>
  <c r="BH26" i="1"/>
  <c r="BA26" i="1"/>
  <c r="BD26" i="1"/>
  <c r="BR21" i="3"/>
  <c r="BR32" i="3" s="1"/>
  <c r="BR43" i="3" s="1"/>
  <c r="BQ21" i="3"/>
  <c r="BD12" i="4"/>
  <c r="BD25" i="4"/>
  <c r="BA20" i="3"/>
  <c r="BH20" i="3"/>
  <c r="BD20" i="3"/>
  <c r="BH26" i="5"/>
  <c r="BD26" i="5"/>
  <c r="BE26" i="5"/>
  <c r="BG26" i="5"/>
  <c r="BG53" i="4" l="1"/>
  <c r="BK53" i="4"/>
  <c r="BE53" i="4"/>
  <c r="BB53" i="4"/>
  <c r="BJ53" i="4"/>
  <c r="BD53" i="4"/>
  <c r="Y14" i="4" s="1"/>
  <c r="AE14" i="1"/>
  <c r="AS14" i="1" s="1"/>
  <c r="BJ57" i="1"/>
  <c r="BD57" i="1"/>
  <c r="Y14" i="1" s="1"/>
  <c r="BB57" i="1"/>
  <c r="W14" i="1" s="1"/>
  <c r="BG57" i="1"/>
  <c r="AB14" i="1" s="1"/>
  <c r="AP14" i="1" s="1"/>
  <c r="BE57" i="1"/>
  <c r="Z14" i="1" s="1"/>
  <c r="AN14" i="1" s="1"/>
  <c r="BK57" i="1"/>
  <c r="AF14" i="1" s="1"/>
  <c r="AT14" i="1" s="1"/>
  <c r="BQ32" i="3"/>
  <c r="BQ43" i="3" s="1"/>
  <c r="AV15" i="10"/>
  <c r="AH15" i="10" s="1"/>
  <c r="BE44" i="10"/>
  <c r="BK44" i="10"/>
  <c r="AI15" i="10"/>
  <c r="AT13" i="10"/>
  <c r="AV13" i="10" s="1"/>
  <c r="AH13" i="10" s="1"/>
  <c r="P13" i="10"/>
  <c r="S13" i="10" s="1"/>
  <c r="AG17" i="10"/>
  <c r="AU17" i="10" s="1"/>
  <c r="BP61" i="10"/>
  <c r="AW18" i="10"/>
  <c r="AL17" i="10"/>
  <c r="AH10" i="5"/>
  <c r="AM10" i="5"/>
  <c r="AU10" i="5" s="1"/>
  <c r="AG10" i="5" s="1"/>
  <c r="AH11" i="5"/>
  <c r="AU11" i="5"/>
  <c r="AG11" i="5" s="1"/>
  <c r="AK14" i="5"/>
  <c r="AI14" i="5"/>
  <c r="BL49" i="5"/>
  <c r="BJ49" i="5" s="1"/>
  <c r="BD38" i="5"/>
  <c r="AE14" i="5"/>
  <c r="AS14" i="5" s="1"/>
  <c r="BO49" i="5"/>
  <c r="BK49" i="5" s="1"/>
  <c r="BE38" i="5"/>
  <c r="Z14" i="5" s="1"/>
  <c r="AN14" i="5" s="1"/>
  <c r="AF14" i="5"/>
  <c r="AT14" i="5" s="1"/>
  <c r="AH12" i="4"/>
  <c r="AH15" i="1"/>
  <c r="BE28" i="1"/>
  <c r="R15" i="5"/>
  <c r="R47" i="5" s="1"/>
  <c r="AM14" i="4" l="1"/>
  <c r="AU14" i="4" s="1"/>
  <c r="AG14" i="4" s="1"/>
  <c r="AV15" i="4"/>
  <c r="AH14" i="4" s="1"/>
  <c r="AH16" i="4" s="1"/>
  <c r="AH18" i="4" s="1"/>
  <c r="AW15" i="1"/>
  <c r="AK14" i="1"/>
  <c r="AM14" i="1"/>
  <c r="AV15" i="1"/>
  <c r="BE61" i="10"/>
  <c r="Z11" i="10" s="1"/>
  <c r="BK61" i="10"/>
  <c r="AF11" i="10" s="1"/>
  <c r="AV17" i="10"/>
  <c r="AH17" i="10" s="1"/>
  <c r="AX18" i="10"/>
  <c r="AI17" i="10" s="1"/>
  <c r="AW15" i="5"/>
  <c r="Y14" i="5"/>
  <c r="BB49" i="5"/>
  <c r="BE49" i="5"/>
  <c r="BG49" i="5"/>
  <c r="BD49" i="5"/>
  <c r="AH14" i="1" l="1"/>
  <c r="AH16" i="1" s="1"/>
  <c r="AH18" i="1" s="1"/>
  <c r="AU14" i="1"/>
  <c r="AG14" i="1" s="1"/>
  <c r="AT11" i="10"/>
  <c r="P11" i="10"/>
  <c r="S11" i="10" s="1"/>
  <c r="S19" i="10" s="1"/>
  <c r="S48" i="10" s="1"/>
  <c r="AN11" i="10"/>
  <c r="AI11" i="10"/>
  <c r="AI19" i="10" s="1"/>
  <c r="AI21" i="10" s="1"/>
  <c r="AM14" i="5"/>
  <c r="AU14" i="5" s="1"/>
  <c r="AG14" i="5" s="1"/>
  <c r="AV15" i="5"/>
  <c r="AH14" i="5" s="1"/>
  <c r="AH15" i="5" s="1"/>
  <c r="AH17" i="5" s="1"/>
  <c r="AV11" i="10" l="1"/>
  <c r="AH11" i="10" s="1"/>
</calcChain>
</file>

<file path=xl/sharedStrings.xml><?xml version="1.0" encoding="utf-8"?>
<sst xmlns="http://schemas.openxmlformats.org/spreadsheetml/2006/main" count="1540" uniqueCount="529">
  <si>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</si>
  <si>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</si>
  <si>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</si>
  <si>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</si>
  <si>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</si>
  <si>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</si>
  <si>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</si>
  <si>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</si>
  <si>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</si>
  <si>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</si>
  <si>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</si>
  <si>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</si>
  <si>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</si>
  <si>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</si>
  <si>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</si>
  <si>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</si>
  <si>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</si>
  <si>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</si>
  <si>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</si>
  <si>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</si>
  <si>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</si>
  <si>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</si>
  <si>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</si>
  <si>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</si>
  <si>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</si>
  <si>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</si>
  <si>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</si>
  <si>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</si>
  <si>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</si>
  <si>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</si>
  <si>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</si>
  <si>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</si>
  <si>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</si>
  <si>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</si>
  <si>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</si>
  <si>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</si>
  <si>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</si>
  <si>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</si>
  <si>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</si>
  <si>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</si>
  <si>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</si>
  <si>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</si>
  <si>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</si>
  <si>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</si>
  <si>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</si>
  <si>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</si>
  <si>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</si>
  <si>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</si>
  <si>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</si>
  <si>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</si>
  <si>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</si>
  <si>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</si>
  <si>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</si>
  <si>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</si>
  <si>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</si>
  <si>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</si>
  <si>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</si>
  <si>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</si>
  <si>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</si>
  <si>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</si>
  <si>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</si>
  <si>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</si>
  <si>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</si>
  <si>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</si>
  <si>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</si>
  <si>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</si>
  <si>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</si>
  <si>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</si>
  <si>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</si>
  <si>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</si>
  <si>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</si>
  <si>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</si>
  <si>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</si>
  <si>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</si>
  <si>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</si>
  <si>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</si>
  <si>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</si>
  <si>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</si>
  <si>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</si>
  <si>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</si>
  <si>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</si>
  <si>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</si>
  <si>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</si>
  <si>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</si>
  <si>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</si>
  <si>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</si>
  <si>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</si>
  <si>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</si>
  <si>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</si>
  <si>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</si>
  <si>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</si>
  <si>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</si>
  <si>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</si>
  <si>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</si>
  <si>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</si>
  <si>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</si>
  <si>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</si>
  <si>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</si>
  <si>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</si>
  <si>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</si>
  <si>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</si>
  <si>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</si>
  <si>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</si>
  <si>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</si>
  <si>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</si>
  <si>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</si>
  <si>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</si>
  <si>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</si>
  <si>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</si>
  <si>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</si>
  <si>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</si>
  <si>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</si>
  <si>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</si>
  <si>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</si>
  <si>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</si>
  <si>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</si>
  <si>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</si>
  <si>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</si>
  <si>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</si>
  <si>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</si>
  <si>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</si>
  <si>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</si>
  <si>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</si>
  <si>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</si>
  <si>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</si>
  <si>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</si>
  <si>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</si>
  <si>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</si>
  <si>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</si>
  <si>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</si>
  <si>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</si>
  <si>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</si>
  <si>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</si>
  <si>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</si>
  <si>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</si>
  <si>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</si>
  <si>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</si>
  <si>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</si>
  <si>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</si>
  <si>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</si>
  <si>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</si>
  <si>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</si>
  <si>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</si>
  <si>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</si>
  <si>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</si>
  <si>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</si>
  <si>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</si>
  <si>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</si>
  <si>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</si>
  <si>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</si>
  <si>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</si>
  <si>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</si>
  <si>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</si>
  <si>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</si>
  <si>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</si>
  <si>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</si>
  <si>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</si>
  <si>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</si>
  <si>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</si>
  <si>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</si>
  <si>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</si>
  <si>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</si>
  <si>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</si>
  <si>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одной плоскости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</si>
  <si>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</si>
  <si>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</si>
  <si>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</si>
  <si>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</si>
  <si>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</si>
  <si>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</si>
  <si>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</si>
  <si>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</si>
  <si>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</si>
  <si>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</si>
  <si>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</si>
  <si>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</si>
  <si>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</si>
  <si>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</si>
  <si>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</si>
  <si>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</si>
  <si>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</si>
  <si>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</si>
  <si>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</si>
  <si>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</si>
  <si>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</si>
  <si>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</si>
  <si>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</si>
  <si>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</si>
  <si>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</si>
  <si>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</si>
  <si>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</si>
  <si>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</si>
  <si>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</si>
  <si>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AS0460.VP540</t>
  </si>
  <si>
    <t>FX0010.VS000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</si>
  <si>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</si>
  <si>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</si>
  <si>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</si>
  <si>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</si>
  <si>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</si>
  <si>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</si>
  <si>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</si>
  <si>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</si>
  <si>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</si>
  <si>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</si>
  <si>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</si>
  <si>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</si>
  <si>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</si>
  <si>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</si>
  <si>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</si>
  <si>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</si>
  <si>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</si>
  <si>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</si>
  <si>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</si>
  <si>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</si>
  <si>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</si>
  <si>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</si>
  <si>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</si>
  <si>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</si>
  <si>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</si>
  <si>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</si>
  <si>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</si>
  <si>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</si>
  <si>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</si>
  <si>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</si>
  <si>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</si>
  <si>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</si>
  <si>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</si>
  <si>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</si>
  <si>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</si>
  <si>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</si>
  <si>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</si>
  <si>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FH0102.VP000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</si>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</sst>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</numFmts>
  <fonts count="39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682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1" xfId="0" applyFont="1" applyFill="1" applyBorder="1" applyAlignment="1" applyProtection="1">
      <alignment horizontal="left" vertical="center"/>
    </xf>
    <xf numFmtId="0" fontId="21" fillId="2" borderId="42" xfId="0" applyFont="1" applyFill="1" applyBorder="1" applyAlignment="1" applyProtection="1">
      <alignment horizontal="center" vertical="center"/>
    </xf>
    <xf numFmtId="169" fontId="0" fillId="0" borderId="42" xfId="0" applyNumberFormat="1" applyBorder="1" applyAlignment="1" applyProtection="1">
      <alignment horizontal="center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3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4" fillId="0" borderId="42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8" xfId="0" applyFont="1" applyFill="1" applyBorder="1" applyAlignment="1" applyProtection="1">
      <alignment vertical="center"/>
    </xf>
    <xf numFmtId="169" fontId="24" fillId="0" borderId="46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/>
    </xf>
    <xf numFmtId="0" fontId="0" fillId="0" borderId="0" xfId="0" applyBorder="1" applyAlignment="1" applyProtection="1">
      <alignment vertical="center"/>
      <protection locked="0"/>
    </xf>
    <xf numFmtId="0" fontId="14" fillId="0" borderId="1" xfId="0" applyFont="1" applyFill="1" applyBorder="1" applyAlignment="1" applyProtection="1">
      <alignment horizontal="center" vertical="center" wrapText="1"/>
    </xf>
    <xf numFmtId="169" fontId="21" fillId="0" borderId="42" xfId="0" applyNumberFormat="1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0" fontId="21" fillId="0" borderId="36" xfId="0" applyFont="1" applyBorder="1" applyAlignment="1" applyProtection="1">
      <alignment horizontal="center"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3" xfId="1" applyNumberFormat="1" applyFont="1" applyFill="1" applyBorder="1" applyAlignment="1" applyProtection="1">
      <alignment horizontal="center" vertical="center"/>
    </xf>
    <xf numFmtId="169" fontId="3" fillId="0" borderId="46" xfId="0" applyNumberFormat="1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vertical="center"/>
    </xf>
    <xf numFmtId="0" fontId="24" fillId="0" borderId="48" xfId="0" applyFont="1" applyFill="1" applyBorder="1" applyAlignment="1" applyProtection="1">
      <alignment vertical="center"/>
    </xf>
    <xf numFmtId="182" fontId="24" fillId="0" borderId="48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38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0" fontId="25" fillId="0" borderId="48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4" xfId="0" applyNumberFormat="1" applyFont="1" applyBorder="1" applyAlignment="1" applyProtection="1">
      <alignment horizontal="right" vertical="center"/>
    </xf>
    <xf numFmtId="165" fontId="0" fillId="0" borderId="1" xfId="0" applyNumberForma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0" fillId="0" borderId="51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right" vertical="center"/>
    </xf>
    <xf numFmtId="0" fontId="9" fillId="0" borderId="52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0" fontId="9" fillId="0" borderId="38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0" fillId="0" borderId="0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6" xfId="0" applyNumberFormat="1" applyFill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169" fontId="21" fillId="0" borderId="49" xfId="0" applyNumberFormat="1" applyFont="1" applyBorder="1" applyAlignment="1" applyProtection="1">
      <alignment horizontal="right" vertical="center"/>
    </xf>
    <xf numFmtId="169" fontId="21" fillId="0" borderId="50" xfId="0" applyNumberFormat="1" applyFont="1" applyBorder="1" applyAlignment="1" applyProtection="1">
      <alignment horizontal="right" vertical="center"/>
    </xf>
    <xf numFmtId="0" fontId="21" fillId="2" borderId="48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5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9" fontId="21" fillId="0" borderId="36" xfId="0" applyNumberFormat="1" applyFont="1" applyBorder="1" applyAlignment="1" applyProtection="1">
      <alignment horizontal="right" vertical="center"/>
    </xf>
    <xf numFmtId="0" fontId="9" fillId="0" borderId="39" xfId="0" applyFont="1" applyFill="1" applyBorder="1" applyAlignment="1" applyProtection="1">
      <alignment horizontal="center"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9" fontId="21" fillId="0" borderId="47" xfId="0" applyNumberFormat="1" applyFont="1" applyBorder="1" applyAlignment="1" applyProtection="1">
      <alignment horizontal="center" vertical="center"/>
    </xf>
    <xf numFmtId="165" fontId="21" fillId="0" borderId="1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5" fontId="21" fillId="0" borderId="35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4" fontId="21" fillId="0" borderId="16" xfId="0" applyNumberFormat="1" applyFont="1" applyFill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165" fontId="21" fillId="6" borderId="20" xfId="0" applyNumberFormat="1" applyFont="1" applyFill="1" applyBorder="1" applyAlignment="1" applyProtection="1">
      <alignment horizontal="center" vertical="center"/>
      <protection locked="0"/>
    </xf>
    <xf numFmtId="165" fontId="21" fillId="6" borderId="28" xfId="0" applyNumberFormat="1" applyFont="1" applyFill="1" applyBorder="1" applyAlignment="1" applyProtection="1">
      <alignment horizontal="center" vertical="center"/>
      <protection locked="0"/>
    </xf>
    <xf numFmtId="165" fontId="21" fillId="6" borderId="24" xfId="0" applyNumberFormat="1" applyFont="1" applyFill="1" applyBorder="1" applyAlignment="1" applyProtection="1">
      <alignment horizontal="center" vertical="center"/>
      <protection locked="0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169" fontId="21" fillId="0" borderId="6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40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40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40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40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40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6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933448</xdr:colOff>
      <xdr:row>33</xdr:row>
      <xdr:rowOff>65311</xdr:rowOff>
    </xdr:from>
    <xdr:to>
      <xdr:col>1</xdr:col>
      <xdr:colOff>2239736</xdr:colOff>
      <xdr:row>44</xdr:row>
      <xdr:rowOff>65312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1" y="10482940"/>
          <a:ext cx="1306288" cy="34725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606876</xdr:colOff>
      <xdr:row>22</xdr:row>
      <xdr:rowOff>210918</xdr:rowOff>
    </xdr:from>
    <xdr:to>
      <xdr:col>1</xdr:col>
      <xdr:colOff>1915884</xdr:colOff>
      <xdr:row>31</xdr:row>
      <xdr:rowOff>195945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0" y="5991232"/>
          <a:ext cx="1309008" cy="2826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40</xdr:row>
      <xdr:rowOff>239937</xdr:rowOff>
    </xdr:from>
    <xdr:to>
      <xdr:col>1</xdr:col>
      <xdr:colOff>885826</xdr:colOff>
      <xdr:row>43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51</xdr:row>
      <xdr:rowOff>162578</xdr:rowOff>
    </xdr:from>
    <xdr:to>
      <xdr:col>1</xdr:col>
      <xdr:colOff>863236</xdr:colOff>
      <xdr:row>53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148</xdr:row>
      <xdr:rowOff>41606</xdr:rowOff>
    </xdr:from>
    <xdr:to>
      <xdr:col>1</xdr:col>
      <xdr:colOff>907395</xdr:colOff>
      <xdr:row>148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147</xdr:row>
      <xdr:rowOff>72038</xdr:rowOff>
    </xdr:from>
    <xdr:to>
      <xdr:col>1</xdr:col>
      <xdr:colOff>889131</xdr:colOff>
      <xdr:row>147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150</xdr:row>
      <xdr:rowOff>31146</xdr:rowOff>
    </xdr:from>
    <xdr:to>
      <xdr:col>1</xdr:col>
      <xdr:colOff>839035</xdr:colOff>
      <xdr:row>151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120</xdr:row>
      <xdr:rowOff>90765</xdr:rowOff>
    </xdr:from>
    <xdr:to>
      <xdr:col>1</xdr:col>
      <xdr:colOff>781050</xdr:colOff>
      <xdr:row>122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130</xdr:row>
      <xdr:rowOff>32740</xdr:rowOff>
    </xdr:from>
    <xdr:to>
      <xdr:col>1</xdr:col>
      <xdr:colOff>847854</xdr:colOff>
      <xdr:row>130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33</xdr:row>
      <xdr:rowOff>38190</xdr:rowOff>
    </xdr:from>
    <xdr:to>
      <xdr:col>1</xdr:col>
      <xdr:colOff>723062</xdr:colOff>
      <xdr:row>35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99</xdr:row>
      <xdr:rowOff>150645</xdr:rowOff>
    </xdr:from>
    <xdr:to>
      <xdr:col>1</xdr:col>
      <xdr:colOff>789000</xdr:colOff>
      <xdr:row>101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155</xdr:row>
      <xdr:rowOff>43815</xdr:rowOff>
    </xdr:from>
    <xdr:to>
      <xdr:col>1</xdr:col>
      <xdr:colOff>801759</xdr:colOff>
      <xdr:row>155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103</xdr:row>
      <xdr:rowOff>228634</xdr:rowOff>
    </xdr:from>
    <xdr:to>
      <xdr:col>1</xdr:col>
      <xdr:colOff>841992</xdr:colOff>
      <xdr:row>105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149</xdr:row>
      <xdr:rowOff>36487</xdr:rowOff>
    </xdr:from>
    <xdr:to>
      <xdr:col>1</xdr:col>
      <xdr:colOff>804784</xdr:colOff>
      <xdr:row>149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146</xdr:row>
      <xdr:rowOff>99806</xdr:rowOff>
    </xdr:from>
    <xdr:to>
      <xdr:col>1</xdr:col>
      <xdr:colOff>961332</xdr:colOff>
      <xdr:row>146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154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161</xdr:row>
      <xdr:rowOff>94421</xdr:rowOff>
    </xdr:from>
    <xdr:to>
      <xdr:col>1</xdr:col>
      <xdr:colOff>1242040</xdr:colOff>
      <xdr:row>162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151</xdr:row>
      <xdr:rowOff>152400</xdr:rowOff>
    </xdr:from>
    <xdr:to>
      <xdr:col>1</xdr:col>
      <xdr:colOff>762000</xdr:colOff>
      <xdr:row>153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145</xdr:row>
      <xdr:rowOff>44728</xdr:rowOff>
    </xdr:from>
    <xdr:to>
      <xdr:col>1</xdr:col>
      <xdr:colOff>869674</xdr:colOff>
      <xdr:row>145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66</xdr:row>
      <xdr:rowOff>160020</xdr:rowOff>
    </xdr:from>
    <xdr:to>
      <xdr:col>1</xdr:col>
      <xdr:colOff>880286</xdr:colOff>
      <xdr:row>69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158</xdr:row>
      <xdr:rowOff>41416</xdr:rowOff>
    </xdr:from>
    <xdr:to>
      <xdr:col>1</xdr:col>
      <xdr:colOff>728881</xdr:colOff>
      <xdr:row>158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159</xdr:row>
      <xdr:rowOff>41416</xdr:rowOff>
    </xdr:from>
    <xdr:to>
      <xdr:col>1</xdr:col>
      <xdr:colOff>861082</xdr:colOff>
      <xdr:row>159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161</xdr:row>
      <xdr:rowOff>20543</xdr:rowOff>
    </xdr:from>
    <xdr:to>
      <xdr:col>1</xdr:col>
      <xdr:colOff>775833</xdr:colOff>
      <xdr:row>162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157</xdr:row>
      <xdr:rowOff>38101</xdr:rowOff>
    </xdr:from>
    <xdr:to>
      <xdr:col>1</xdr:col>
      <xdr:colOff>794128</xdr:colOff>
      <xdr:row>157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102</xdr:row>
      <xdr:rowOff>104775</xdr:rowOff>
    </xdr:from>
    <xdr:to>
      <xdr:col>1</xdr:col>
      <xdr:colOff>904875</xdr:colOff>
      <xdr:row>102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135</xdr:row>
      <xdr:rowOff>76201</xdr:rowOff>
    </xdr:from>
    <xdr:to>
      <xdr:col>1</xdr:col>
      <xdr:colOff>942975</xdr:colOff>
      <xdr:row>135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110</xdr:row>
      <xdr:rowOff>131446</xdr:rowOff>
    </xdr:from>
    <xdr:to>
      <xdr:col>1</xdr:col>
      <xdr:colOff>990600</xdr:colOff>
      <xdr:row>112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113</xdr:row>
      <xdr:rowOff>30481</xdr:rowOff>
    </xdr:from>
    <xdr:to>
      <xdr:col>1</xdr:col>
      <xdr:colOff>1019714</xdr:colOff>
      <xdr:row>115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131</xdr:row>
      <xdr:rowOff>101845</xdr:rowOff>
    </xdr:from>
    <xdr:to>
      <xdr:col>1</xdr:col>
      <xdr:colOff>886558</xdr:colOff>
      <xdr:row>133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116</xdr:row>
      <xdr:rowOff>46893</xdr:rowOff>
    </xdr:from>
    <xdr:to>
      <xdr:col>1</xdr:col>
      <xdr:colOff>790575</xdr:colOff>
      <xdr:row>116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142</xdr:row>
      <xdr:rowOff>87923</xdr:rowOff>
    </xdr:from>
    <xdr:to>
      <xdr:col>1</xdr:col>
      <xdr:colOff>921929</xdr:colOff>
      <xdr:row>144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137</xdr:row>
      <xdr:rowOff>178777</xdr:rowOff>
    </xdr:from>
    <xdr:to>
      <xdr:col>1</xdr:col>
      <xdr:colOff>971551</xdr:colOff>
      <xdr:row>139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156</xdr:row>
      <xdr:rowOff>43669</xdr:rowOff>
    </xdr:from>
    <xdr:to>
      <xdr:col>1</xdr:col>
      <xdr:colOff>754350</xdr:colOff>
      <xdr:row>156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170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173</xdr:row>
      <xdr:rowOff>34161</xdr:rowOff>
    </xdr:from>
    <xdr:to>
      <xdr:col>1</xdr:col>
      <xdr:colOff>852045</xdr:colOff>
      <xdr:row>173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174</xdr:row>
      <xdr:rowOff>49341</xdr:rowOff>
    </xdr:from>
    <xdr:to>
      <xdr:col>1</xdr:col>
      <xdr:colOff>819150</xdr:colOff>
      <xdr:row>174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175</xdr:row>
      <xdr:rowOff>85727</xdr:rowOff>
    </xdr:from>
    <xdr:to>
      <xdr:col>1</xdr:col>
      <xdr:colOff>833003</xdr:colOff>
      <xdr:row>175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176</xdr:row>
      <xdr:rowOff>67034</xdr:rowOff>
    </xdr:from>
    <xdr:to>
      <xdr:col>1</xdr:col>
      <xdr:colOff>1101280</xdr:colOff>
      <xdr:row>176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177</xdr:row>
      <xdr:rowOff>127186</xdr:rowOff>
    </xdr:from>
    <xdr:to>
      <xdr:col>1</xdr:col>
      <xdr:colOff>1051560</xdr:colOff>
      <xdr:row>178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179</xdr:row>
      <xdr:rowOff>158115</xdr:rowOff>
    </xdr:from>
    <xdr:to>
      <xdr:col>1</xdr:col>
      <xdr:colOff>891540</xdr:colOff>
      <xdr:row>182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76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84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183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106</xdr:row>
      <xdr:rowOff>129540</xdr:rowOff>
    </xdr:from>
    <xdr:to>
      <xdr:col>1</xdr:col>
      <xdr:colOff>928994</xdr:colOff>
      <xdr:row>109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123</xdr:row>
      <xdr:rowOff>83820</xdr:rowOff>
    </xdr:from>
    <xdr:to>
      <xdr:col>1</xdr:col>
      <xdr:colOff>979170</xdr:colOff>
      <xdr:row>126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89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164</xdr:row>
      <xdr:rowOff>85725</xdr:rowOff>
    </xdr:from>
    <xdr:to>
      <xdr:col>1</xdr:col>
      <xdr:colOff>864436</xdr:colOff>
      <xdr:row>165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116</xdr:row>
      <xdr:rowOff>53340</xdr:rowOff>
    </xdr:from>
    <xdr:to>
      <xdr:col>1</xdr:col>
      <xdr:colOff>377058</xdr:colOff>
      <xdr:row>116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127</xdr:row>
      <xdr:rowOff>15242</xdr:rowOff>
    </xdr:from>
    <xdr:to>
      <xdr:col>1</xdr:col>
      <xdr:colOff>822960</xdr:colOff>
      <xdr:row>127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128</xdr:row>
      <xdr:rowOff>38101</xdr:rowOff>
    </xdr:from>
    <xdr:to>
      <xdr:col>1</xdr:col>
      <xdr:colOff>853440</xdr:colOff>
      <xdr:row>128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129</xdr:row>
      <xdr:rowOff>22860</xdr:rowOff>
    </xdr:from>
    <xdr:to>
      <xdr:col>1</xdr:col>
      <xdr:colOff>914400</xdr:colOff>
      <xdr:row>129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117</xdr:row>
      <xdr:rowOff>152400</xdr:rowOff>
    </xdr:from>
    <xdr:to>
      <xdr:col>1</xdr:col>
      <xdr:colOff>876300</xdr:colOff>
      <xdr:row>119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166</xdr:row>
      <xdr:rowOff>137160</xdr:rowOff>
    </xdr:from>
    <xdr:to>
      <xdr:col>1</xdr:col>
      <xdr:colOff>1104901</xdr:colOff>
      <xdr:row>168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K84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1" customWidth="1"/>
    <col min="19" max="19" width="1.77734375" style="1" customWidth="1"/>
    <col min="20" max="20" width="24.77734375" style="1" customWidth="1"/>
    <col min="21" max="33" width="11.77734375" style="1" customWidth="1"/>
    <col min="34" max="34" width="14.77734375" style="1" customWidth="1"/>
    <col min="35" max="46" width="5.77734375" style="1" hidden="1" customWidth="1"/>
    <col min="47" max="47" width="13.88671875" style="1" hidden="1" customWidth="1"/>
    <col min="48" max="49" width="12.77734375" style="1" hidden="1" customWidth="1"/>
    <col min="50" max="53" width="10.109375" style="54" hidden="1" customWidth="1"/>
    <col min="54" max="54" width="13.5546875" style="54" hidden="1" customWidth="1"/>
    <col min="55" max="55" width="12.77734375" style="54" hidden="1" customWidth="1"/>
    <col min="56" max="63" width="10.109375" style="54" hidden="1" customWidth="1"/>
    <col min="64" max="64" width="12.77734375" style="54" hidden="1" customWidth="1"/>
    <col min="65" max="69" width="8.88671875" style="1" hidden="1" customWidth="1"/>
    <col min="70" max="72" width="16.44140625" style="1" hidden="1" customWidth="1"/>
    <col min="73" max="73" width="13.5546875" style="1" hidden="1" customWidth="1"/>
    <col min="74" max="74" width="29.88671875" style="1" hidden="1" customWidth="1"/>
    <col min="75" max="80" width="8.88671875" style="1" hidden="1" customWidth="1"/>
    <col min="81" max="81" width="17.44140625" style="1" hidden="1" customWidth="1"/>
    <col min="82" max="82" width="24.6640625" style="1" hidden="1" customWidth="1"/>
    <col min="83" max="83" width="18.5546875" style="1" hidden="1" customWidth="1"/>
    <col min="84" max="89" width="8.88671875" style="1" hidden="1" customWidth="1"/>
    <col min="90" max="16384" width="8.88671875" style="1"/>
  </cols>
  <sheetData>
    <row r="1" spans="2:88" ht="25.05" customHeight="1" x14ac:dyDescent="0.3">
      <c r="B1" s="480" t="s">
        <v>104</v>
      </c>
      <c r="C1" s="480"/>
      <c r="D1" s="480"/>
      <c r="E1" s="480"/>
      <c r="F1" s="480"/>
      <c r="G1" s="480"/>
      <c r="H1" s="480"/>
      <c r="I1" s="149"/>
      <c r="J1" s="480" t="s">
        <v>105</v>
      </c>
      <c r="K1" s="480"/>
      <c r="L1" s="480"/>
      <c r="M1" s="480"/>
      <c r="N1" s="480"/>
      <c r="O1" s="480"/>
      <c r="P1" s="244"/>
      <c r="Q1" s="244"/>
      <c r="R1" s="203"/>
      <c r="S1" s="203"/>
      <c r="T1" s="203"/>
    </row>
    <row r="2" spans="2:88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2:88" s="4" customFormat="1" ht="25.05" customHeight="1" thickBot="1" x14ac:dyDescent="0.35">
      <c r="B3" s="502" t="s">
        <v>472</v>
      </c>
      <c r="C3" s="503"/>
      <c r="D3" s="503"/>
      <c r="E3" s="510">
        <v>2600</v>
      </c>
      <c r="F3" s="510"/>
      <c r="G3" s="510"/>
      <c r="H3" s="511"/>
      <c r="J3" s="485" t="s">
        <v>270</v>
      </c>
      <c r="K3" s="486"/>
      <c r="L3" s="3"/>
      <c r="M3" s="3"/>
      <c r="N3" s="437"/>
      <c r="O3" s="437"/>
      <c r="P3" s="326"/>
      <c r="Q3" s="326"/>
      <c r="R3" s="3"/>
      <c r="S3" s="3"/>
      <c r="T3" s="3"/>
      <c r="W3" s="531" t="s">
        <v>424</v>
      </c>
      <c r="X3" s="532"/>
      <c r="Y3" s="533"/>
      <c r="Z3" s="534" t="s">
        <v>425</v>
      </c>
      <c r="AA3" s="53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BA3" s="3"/>
      <c r="BB3" s="3"/>
      <c r="BC3" s="3"/>
      <c r="BD3" s="3"/>
      <c r="BE3" s="241" t="s">
        <v>425</v>
      </c>
      <c r="BF3" s="3"/>
      <c r="BG3" s="3"/>
      <c r="BH3" s="3"/>
      <c r="BI3" s="3"/>
      <c r="BJ3" s="3"/>
      <c r="BK3" s="3"/>
      <c r="BL3" s="3"/>
    </row>
    <row r="4" spans="2:88" ht="25.05" customHeight="1" x14ac:dyDescent="0.3">
      <c r="B4" s="504" t="s">
        <v>120</v>
      </c>
      <c r="C4" s="505"/>
      <c r="D4" s="505"/>
      <c r="E4" s="512">
        <v>3200</v>
      </c>
      <c r="F4" s="512"/>
      <c r="G4" s="512"/>
      <c r="H4" s="513"/>
      <c r="J4" s="21" t="s">
        <v>20</v>
      </c>
      <c r="K4" s="291">
        <f>IF(OR(E8=BV6,E8=BV7),E3+100-60,E3-60)</f>
        <v>2540</v>
      </c>
      <c r="L4" s="6"/>
      <c r="M4" s="6"/>
      <c r="P4" s="6"/>
      <c r="Q4" s="6"/>
      <c r="R4" s="541" t="s">
        <v>460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2:88" ht="25.05" customHeight="1" thickBot="1" x14ac:dyDescent="0.35">
      <c r="B5" s="504" t="s">
        <v>449</v>
      </c>
      <c r="C5" s="505"/>
      <c r="D5" s="505"/>
      <c r="E5" s="488">
        <v>0</v>
      </c>
      <c r="F5" s="488"/>
      <c r="G5" s="488"/>
      <c r="H5" s="489"/>
      <c r="J5" s="150" t="s">
        <v>21</v>
      </c>
      <c r="K5" s="292">
        <f>ROUNDUP(IF(E8=BV6,E4+39,
IF(AND(OR(E8=BV7,E8=BV8),OR(E13=BV36,E13=BV37)),E4/2+39,
IF(AND(OR(E8=BV7,E8=BV8),OR(E13=BV38,E13=BV39)),(E4-10)/2+39,
IF(AND(E8=BV9,OR(E13=BV36,E13=BV37)),(E4+39)/2,
IF(AND(E8=BV9,OR(E13=BV38,E13=BV39)),(E4-10+39)/2,
IF(AND(OR(E8=BV10,E8=BV14),OR(E13=BV36,E13=BV37)),(E4+39+39)/4,
IF(AND(OR(E8=BV10,E8=BV14),OR(E13=BV38,E13=BV39)),(E4-10+39+39)/4,
IF(AND(E8=BV11,OR(E13=BV36,E13=BV37),E10&gt;1),(E4+53+(E10-1)*39)/E10,
IF(AND(E8=BV11,OR(E13=BV38,E13=BV39),E10&gt;1),(E4-5+53+(E10-1)*39)/E10,
IF(AND(E8=BV12,OR(E13=BV36,E13=BV37),E10&gt;1),(E4+(E10-1)*39)/E10,
IF(AND(E8=BV12,OR(E13=BV38,E13=BV39),E10&gt;1),(E4-10+(E10-1)*39)/E10,
IF(AND(E8=BV13,OR(E13=BV36,E13=BV37),E10&gt;1),(E4+39+39)/3,
IF(AND(E8=BV13,OR(E13=BV38,E13=BV39),E10&gt;1),(E4-10+39+39)/3,0))))))))))))),0)</f>
        <v>1090</v>
      </c>
      <c r="L5" s="5"/>
      <c r="M5" s="5"/>
      <c r="N5" s="369"/>
      <c r="O5" s="369"/>
      <c r="P5" s="327"/>
      <c r="Q5" s="327"/>
      <c r="R5" s="542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6"/>
    </row>
    <row r="6" spans="2:88" ht="25.05" customHeight="1" thickBot="1" x14ac:dyDescent="0.35">
      <c r="B6" s="504" t="s">
        <v>243</v>
      </c>
      <c r="C6" s="505"/>
      <c r="D6" s="505"/>
      <c r="E6" s="488" t="s">
        <v>459</v>
      </c>
      <c r="F6" s="488"/>
      <c r="G6" s="488"/>
      <c r="H6" s="489"/>
      <c r="J6" s="487"/>
      <c r="K6" s="487"/>
      <c r="L6" s="487"/>
      <c r="M6" s="487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402"/>
      <c r="AJ6" s="402"/>
      <c r="AK6" s="402"/>
      <c r="AL6" s="402"/>
      <c r="AM6" s="402"/>
      <c r="AN6" s="402"/>
      <c r="AO6" s="402"/>
      <c r="AP6" s="402"/>
      <c r="AQ6" s="402"/>
      <c r="AR6" s="402"/>
      <c r="AS6" s="402"/>
      <c r="AT6" s="402"/>
      <c r="AU6" s="402"/>
      <c r="AV6" s="402"/>
      <c r="AW6" s="402"/>
      <c r="AX6" s="3"/>
      <c r="AY6" s="3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6"/>
      <c r="BV6" s="51" t="s">
        <v>95</v>
      </c>
      <c r="CD6" s="1" t="s">
        <v>458</v>
      </c>
      <c r="CE6" s="1" t="s">
        <v>244</v>
      </c>
      <c r="CF6" s="1">
        <f>IF(E6=CD6,9,8)</f>
        <v>8</v>
      </c>
      <c r="CJ6" s="48">
        <v>0</v>
      </c>
    </row>
    <row r="7" spans="2:88" ht="25.05" customHeight="1" x14ac:dyDescent="0.3">
      <c r="B7" s="504" t="s">
        <v>122</v>
      </c>
      <c r="C7" s="505"/>
      <c r="D7" s="505"/>
      <c r="E7" s="488" t="s">
        <v>234</v>
      </c>
      <c r="F7" s="488"/>
      <c r="G7" s="488"/>
      <c r="H7" s="489"/>
      <c r="J7" s="546" t="s">
        <v>182</v>
      </c>
      <c r="K7" s="547"/>
      <c r="L7" s="547"/>
      <c r="M7" s="547"/>
      <c r="N7" s="547"/>
      <c r="O7" s="548"/>
      <c r="P7" s="324"/>
      <c r="Q7" s="324"/>
      <c r="R7" s="258"/>
      <c r="S7" s="324"/>
      <c r="T7" s="401"/>
      <c r="U7" s="537" t="s">
        <v>100</v>
      </c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8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6"/>
      <c r="BV7" s="51" t="s">
        <v>96</v>
      </c>
      <c r="CD7" s="1" t="s">
        <v>459</v>
      </c>
      <c r="CE7" s="1" t="s">
        <v>260</v>
      </c>
      <c r="CJ7" s="48">
        <v>1</v>
      </c>
    </row>
    <row r="8" spans="2:88" ht="25.05" customHeight="1" x14ac:dyDescent="0.3">
      <c r="B8" s="506" t="s">
        <v>123</v>
      </c>
      <c r="C8" s="507"/>
      <c r="D8" s="507"/>
      <c r="E8" s="494" t="s">
        <v>130</v>
      </c>
      <c r="F8" s="494"/>
      <c r="G8" s="494"/>
      <c r="H8" s="495"/>
      <c r="J8" s="399" t="s">
        <v>0</v>
      </c>
      <c r="K8" s="400" t="s">
        <v>1</v>
      </c>
      <c r="L8" s="400" t="s">
        <v>7</v>
      </c>
      <c r="M8" s="205" t="s">
        <v>274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303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6"/>
      <c r="BV8" s="1" t="s">
        <v>474</v>
      </c>
      <c r="CJ8" s="48">
        <v>2</v>
      </c>
    </row>
    <row r="9" spans="2:88" ht="25.05" customHeight="1" x14ac:dyDescent="0.35">
      <c r="B9" s="506" t="s">
        <v>124</v>
      </c>
      <c r="C9" s="507"/>
      <c r="D9" s="507"/>
      <c r="E9" s="496">
        <f>IF(OR(E8=BV9,E8=BV10,E8=BV7,E8=BV8),2,IF(OR(E8=BV11,E8=BV12),E10,IF(E8=BV13,3,IF(E8=BV14,4,1))))</f>
        <v>3</v>
      </c>
      <c r="F9" s="496"/>
      <c r="G9" s="496"/>
      <c r="H9" s="497"/>
      <c r="J9" s="22" t="s">
        <v>2</v>
      </c>
      <c r="K9" s="238" t="s">
        <v>190</v>
      </c>
      <c r="L9" s="403">
        <f>K4</f>
        <v>2540</v>
      </c>
      <c r="M9" s="409">
        <f>IF(E8=BV6,2,
IF(OR(E8=BV7,E8=BV8,E8=BV9,E8=BV10),4,
IF(E8=BV13,6,
IF(OR(E8=BV11,E8=BV12),E10*2,
IF(E8=BV14,8,0)))))</f>
        <v>6</v>
      </c>
      <c r="N9" s="403"/>
      <c r="O9" s="339">
        <f>IF(L9&gt;2650,M9,M9/2)</f>
        <v>3</v>
      </c>
      <c r="P9" s="247"/>
      <c r="Q9" s="247"/>
      <c r="R9" s="338">
        <f>O9*BT9</f>
        <v>15009.630000000001</v>
      </c>
      <c r="S9" s="255"/>
      <c r="T9" s="410" t="str">
        <f>J9</f>
        <v>вертикальный профиль</v>
      </c>
      <c r="U9" s="228">
        <f t="shared" ref="U9:AF11" si="0">IF($Z$3=$CE$21,AZ9,IF($Z$3=$CE$27,AZ33,IF($Z$3=$CE$28,AZ44,AZ21)))</f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0</v>
      </c>
      <c r="AF9" s="228">
        <f t="shared" si="0"/>
        <v>3</v>
      </c>
      <c r="AG9" s="130"/>
      <c r="AH9" s="229">
        <f>R9</f>
        <v>15009.630000000001</v>
      </c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362">
        <v>0.69</v>
      </c>
      <c r="AY9" s="3">
        <f>AX9*L9*M9/1000</f>
        <v>10.515599999999999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3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5003.21</v>
      </c>
      <c r="BU9" s="144"/>
      <c r="BV9" s="51" t="s">
        <v>97</v>
      </c>
      <c r="CE9" s="1" t="s">
        <v>462</v>
      </c>
    </row>
    <row r="10" spans="2:88" ht="25.05" customHeight="1" x14ac:dyDescent="0.3">
      <c r="B10" s="508" t="s">
        <v>269</v>
      </c>
      <c r="C10" s="509"/>
      <c r="D10" s="509"/>
      <c r="E10" s="488">
        <v>3</v>
      </c>
      <c r="F10" s="488"/>
      <c r="G10" s="488"/>
      <c r="H10" s="489"/>
      <c r="J10" s="22" t="s">
        <v>4</v>
      </c>
      <c r="K10" s="235" t="s">
        <v>191</v>
      </c>
      <c r="L10" s="403">
        <f>IF(E8=BV6,E4+K5-52,
IF(OR(E8=BV7,E8=BV8),E4+K5*2-104,
IF(OR(E8=BV9,E8=BV10,E8=BV12,E8=BV13,E8=BV14),E4,
IF(E8=BV11,E4+K5-39,0))))</f>
        <v>3200</v>
      </c>
      <c r="M10" s="409">
        <f>IF(E8=BV9,2,
IF(E8=BV13,2,
IF(OR(E8=BV6,E8=BV7,E8=BV8,E8=BV10),1,
IF(OR(E8=BV11,E8=BV12),E10,
IF(E8=BV14,2,0)))))</f>
        <v>3</v>
      </c>
      <c r="N10" s="403">
        <f>L10*M10</f>
        <v>9600</v>
      </c>
      <c r="O10" s="397">
        <f>IF(E4&gt;BC5,0,BM10+IF(BL10&gt;0,1,0))</f>
        <v>3</v>
      </c>
      <c r="P10" s="247"/>
      <c r="Q10" s="247"/>
      <c r="R10" s="338">
        <f>O10*BT10</f>
        <v>16133.34</v>
      </c>
      <c r="S10" s="255"/>
      <c r="T10" s="410" t="str">
        <f t="shared" ref="T10:T13" si="1">J10</f>
        <v>направляющая верхняя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0</v>
      </c>
      <c r="AE10" s="228">
        <f t="shared" si="0"/>
        <v>3</v>
      </c>
      <c r="AF10" s="228">
        <f t="shared" si="0"/>
        <v>0</v>
      </c>
      <c r="AG10" s="398">
        <f>AU10</f>
        <v>15000</v>
      </c>
      <c r="AH10" s="396">
        <f>Y10*BT10*0.5+AE10*BT10</f>
        <v>16133.34</v>
      </c>
      <c r="AI10" s="442">
        <f>U10*$U$8</f>
        <v>0</v>
      </c>
      <c r="AJ10" s="442">
        <f>V10*$V$8</f>
        <v>0</v>
      </c>
      <c r="AK10" s="442">
        <f>W10*$W$8</f>
        <v>0</v>
      </c>
      <c r="AL10" s="442">
        <f>X10*$X$8</f>
        <v>0</v>
      </c>
      <c r="AM10" s="442">
        <f>Y10*$Y$8</f>
        <v>0</v>
      </c>
      <c r="AN10" s="442">
        <f>Z10*$Z$8</f>
        <v>0</v>
      </c>
      <c r="AO10" s="442">
        <f>AA10*$AA$8</f>
        <v>0</v>
      </c>
      <c r="AP10" s="442">
        <f>AB10*$AB$8</f>
        <v>0</v>
      </c>
      <c r="AQ10" s="442">
        <f>AC10*$AC$8</f>
        <v>0</v>
      </c>
      <c r="AR10" s="442">
        <f>AD10*$AD$8</f>
        <v>0</v>
      </c>
      <c r="AS10" s="442">
        <f>AE10*$AE$8</f>
        <v>15000</v>
      </c>
      <c r="AT10" s="442">
        <f>AF10*$AF$8</f>
        <v>0</v>
      </c>
      <c r="AU10" s="442">
        <f>SUM(AI10:AT10)</f>
        <v>15000</v>
      </c>
      <c r="AV10" s="442"/>
      <c r="AW10" s="442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0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IF(AND(BL10&gt;2500,BL10&lt;=4950),BM10+1,BM10)</f>
        <v>3</v>
      </c>
      <c r="BK10" s="143">
        <v>0</v>
      </c>
      <c r="BL10" s="185">
        <f>$N$10-INT($BC$5/$L$10)*$L$10*$BM$10</f>
        <v>0</v>
      </c>
      <c r="BM10" s="141">
        <f>IF($E$4&gt;$BC$5,0,INT($M$10/INT($BC$5/$L$10)))</f>
        <v>3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5377.78</v>
      </c>
      <c r="BU10" s="3"/>
      <c r="BV10" s="51" t="s">
        <v>157</v>
      </c>
      <c r="CE10" s="1" t="s">
        <v>460</v>
      </c>
    </row>
    <row r="11" spans="2:88" ht="25.05" customHeight="1" x14ac:dyDescent="0.3">
      <c r="B11" s="508" t="s">
        <v>252</v>
      </c>
      <c r="C11" s="509"/>
      <c r="D11" s="509"/>
      <c r="E11" s="498" t="s">
        <v>99</v>
      </c>
      <c r="F11" s="498"/>
      <c r="G11" s="498"/>
      <c r="H11" s="499"/>
      <c r="J11" s="407" t="s">
        <v>5</v>
      </c>
      <c r="K11" s="238" t="s">
        <v>192</v>
      </c>
      <c r="L11" s="337">
        <f>IF(OR(E8=BV6,E8=BV7,E8=BV8),38,0)</f>
        <v>0</v>
      </c>
      <c r="M11" s="409">
        <f>IF(OR(E8=BV6,E8=BV7,E8=BV8),2,0)</f>
        <v>0</v>
      </c>
      <c r="N11" s="475">
        <f>L12*M12+L11*M11</f>
        <v>6400</v>
      </c>
      <c r="O11" s="540">
        <f>IF(E4&gt;BC5,0,BM11+IF(BL11&gt;0,1,0))</f>
        <v>2</v>
      </c>
      <c r="P11" s="247"/>
      <c r="Q11" s="247"/>
      <c r="R11" s="549">
        <f>O11*BT11</f>
        <v>3500.6</v>
      </c>
      <c r="S11" s="255"/>
      <c r="T11" s="410" t="str">
        <f t="shared" si="1"/>
        <v>накладка декоративная</v>
      </c>
      <c r="U11" s="527">
        <f t="shared" si="0"/>
        <v>0</v>
      </c>
      <c r="V11" s="527">
        <f t="shared" si="0"/>
        <v>0</v>
      </c>
      <c r="W11" s="527">
        <f t="shared" si="0"/>
        <v>0</v>
      </c>
      <c r="X11" s="527">
        <f t="shared" si="0"/>
        <v>0</v>
      </c>
      <c r="Y11" s="527">
        <f t="shared" si="0"/>
        <v>0</v>
      </c>
      <c r="Z11" s="527">
        <f t="shared" si="0"/>
        <v>0</v>
      </c>
      <c r="AA11" s="527">
        <f t="shared" si="0"/>
        <v>0</v>
      </c>
      <c r="AB11" s="527">
        <f t="shared" si="0"/>
        <v>0</v>
      </c>
      <c r="AC11" s="527">
        <f t="shared" si="0"/>
        <v>0</v>
      </c>
      <c r="AD11" s="527">
        <f t="shared" si="0"/>
        <v>0</v>
      </c>
      <c r="AE11" s="527">
        <f t="shared" si="0"/>
        <v>2</v>
      </c>
      <c r="AF11" s="527">
        <f t="shared" si="0"/>
        <v>0</v>
      </c>
      <c r="AG11" s="528">
        <f>AU11</f>
        <v>10000</v>
      </c>
      <c r="AH11" s="539">
        <f>(Y11*0.5+AE11)*BT11</f>
        <v>3500.6</v>
      </c>
      <c r="AI11" s="442">
        <f>U11*$U$8</f>
        <v>0</v>
      </c>
      <c r="AJ11" s="442">
        <f>V11*$V$8</f>
        <v>0</v>
      </c>
      <c r="AK11" s="442">
        <f>W11*$W$8</f>
        <v>0</v>
      </c>
      <c r="AL11" s="442">
        <f>X11*$X$8</f>
        <v>0</v>
      </c>
      <c r="AM11" s="442">
        <f>Y11*$Y$8</f>
        <v>0</v>
      </c>
      <c r="AN11" s="442">
        <f>Z11*$Z$8</f>
        <v>0</v>
      </c>
      <c r="AO11" s="442">
        <f>AA11*$AA$8</f>
        <v>0</v>
      </c>
      <c r="AP11" s="442">
        <f>AB11*$AB$8</f>
        <v>0</v>
      </c>
      <c r="AQ11" s="442">
        <f>AC11*$AC$8</f>
        <v>0</v>
      </c>
      <c r="AR11" s="442">
        <f>AD11*$AD$8</f>
        <v>0</v>
      </c>
      <c r="AS11" s="442">
        <f>AE11*$AE$8</f>
        <v>10000</v>
      </c>
      <c r="AT11" s="442">
        <f>AF11*$AF$8</f>
        <v>0</v>
      </c>
      <c r="AU11" s="442">
        <f>SUM(AI11:AT11)</f>
        <v>10000</v>
      </c>
      <c r="AV11" s="442"/>
      <c r="AW11" s="442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1">
        <f>IF(AND(BL11&gt;0,BL11&lt;=2500),1,0)</f>
        <v>0</v>
      </c>
      <c r="BE11" s="143">
        <v>0</v>
      </c>
      <c r="BF11" s="143">
        <v>0</v>
      </c>
      <c r="BG11" s="143">
        <v>0</v>
      </c>
      <c r="BH11" s="143">
        <v>0</v>
      </c>
      <c r="BI11" s="143">
        <v>0</v>
      </c>
      <c r="BJ11" s="141">
        <f>IF(AND(BL11&gt;2500,BL11&lt;=5025),BM11+1,BM11)</f>
        <v>2</v>
      </c>
      <c r="BK11" s="143">
        <v>0</v>
      </c>
      <c r="BL11" s="185">
        <f>$N$11-INT($BC$6/($L$12+$L$11*$M$11))*($L$12+$L$11*$M$11)*BM11</f>
        <v>0</v>
      </c>
      <c r="BM11" s="141">
        <f>IF($E$4&gt;$BC$6,0,INT($M$12/INT($BC$6/($L$12+$L$11*$M$11))))</f>
        <v>2</v>
      </c>
      <c r="BN11" s="141"/>
      <c r="BO11" s="141"/>
      <c r="BP11" s="188"/>
      <c r="BQ11" s="188"/>
      <c r="BR11" s="188"/>
      <c r="BS11" s="144"/>
      <c r="BT11" s="144">
        <f t="array" ref="BT11">INDEX(Цены!J:J,MATCH(J11&amp;$E$7,Цены!C:C&amp;Цены!G:G,0))</f>
        <v>1750.3</v>
      </c>
      <c r="BU11" s="144"/>
      <c r="BV11" s="51" t="s">
        <v>106</v>
      </c>
      <c r="CE11" s="1" t="s">
        <v>461</v>
      </c>
    </row>
    <row r="12" spans="2:88" ht="25.05" customHeight="1" x14ac:dyDescent="0.3">
      <c r="B12" s="490" t="s">
        <v>22</v>
      </c>
      <c r="C12" s="491"/>
      <c r="D12" s="491"/>
      <c r="E12" s="498" t="s">
        <v>99</v>
      </c>
      <c r="F12" s="498"/>
      <c r="G12" s="498"/>
      <c r="H12" s="499"/>
      <c r="J12" s="407" t="s">
        <v>5</v>
      </c>
      <c r="K12" s="238" t="s">
        <v>192</v>
      </c>
      <c r="L12" s="128">
        <f>IF(OR(E8=BV6,E8=BV7,E8=BV8),L10,
IF(OR(E8=BV9,E8=BV10,E8=BV11,E8=BV12,E8=BV13,E8=BV14),L10,0))</f>
        <v>3200</v>
      </c>
      <c r="M12" s="129">
        <f>IF(OR(E8=BV6,E8=BV7,E8=BV8,E8=BV10,E8=BV11),1,
IF(OR(E8=BV9,E8=BV12,E8=BV14),2,
IF(E8=BV13,1,0)))</f>
        <v>2</v>
      </c>
      <c r="N12" s="475"/>
      <c r="O12" s="540"/>
      <c r="P12" s="247"/>
      <c r="Q12" s="247"/>
      <c r="R12" s="549"/>
      <c r="S12" s="255"/>
      <c r="T12" s="410" t="str">
        <f t="shared" si="1"/>
        <v>накладка декоративная</v>
      </c>
      <c r="U12" s="527"/>
      <c r="V12" s="527"/>
      <c r="W12" s="527"/>
      <c r="X12" s="527"/>
      <c r="Y12" s="527"/>
      <c r="Z12" s="527"/>
      <c r="AA12" s="527"/>
      <c r="AB12" s="527"/>
      <c r="AC12" s="527"/>
      <c r="AD12" s="527"/>
      <c r="AE12" s="527"/>
      <c r="AF12" s="527"/>
      <c r="AG12" s="528"/>
      <c r="AH12" s="539"/>
      <c r="AI12" s="442"/>
      <c r="AJ12" s="442"/>
      <c r="AK12" s="442"/>
      <c r="AL12" s="442"/>
      <c r="AM12" s="442"/>
      <c r="AN12" s="442"/>
      <c r="AO12" s="442"/>
      <c r="AP12" s="442"/>
      <c r="AQ12" s="442"/>
      <c r="AR12" s="442"/>
      <c r="AS12" s="442"/>
      <c r="AT12" s="442"/>
      <c r="AU12" s="442"/>
      <c r="AV12" s="442"/>
      <c r="AW12" s="442"/>
      <c r="AX12" s="3"/>
      <c r="AY12" s="3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85"/>
      <c r="BM12" s="141"/>
      <c r="BN12" s="141"/>
      <c r="BO12" s="141"/>
      <c r="BP12" s="188"/>
      <c r="BQ12" s="188"/>
      <c r="BR12" s="188"/>
      <c r="BS12" s="144"/>
      <c r="BT12" s="144"/>
      <c r="BU12" s="144"/>
      <c r="BV12" s="51" t="s">
        <v>130</v>
      </c>
    </row>
    <row r="13" spans="2:88" ht="25.05" customHeight="1" x14ac:dyDescent="0.3">
      <c r="B13" s="492" t="s">
        <v>158</v>
      </c>
      <c r="C13" s="493"/>
      <c r="D13" s="493"/>
      <c r="E13" s="498" t="s">
        <v>129</v>
      </c>
      <c r="F13" s="498"/>
      <c r="G13" s="498"/>
      <c r="H13" s="499"/>
      <c r="J13" s="22" t="s">
        <v>3</v>
      </c>
      <c r="K13" s="238" t="s">
        <v>259</v>
      </c>
      <c r="L13" s="403">
        <f>K5-78</f>
        <v>1012</v>
      </c>
      <c r="M13" s="409">
        <f>E9*2</f>
        <v>6</v>
      </c>
      <c r="N13" s="403">
        <f>L13*M13</f>
        <v>6072</v>
      </c>
      <c r="O13" s="397">
        <f>BM13+IF(BL13&gt;0,1,0)</f>
        <v>2</v>
      </c>
      <c r="P13" s="247"/>
      <c r="Q13" s="247"/>
      <c r="R13" s="338">
        <f>O13*BT13</f>
        <v>6041.88</v>
      </c>
      <c r="S13" s="255"/>
      <c r="T13" s="410" t="str">
        <f t="shared" si="1"/>
        <v>рамка верхняя</v>
      </c>
      <c r="U13" s="395">
        <f t="shared" ref="U13:AF14" si="2">IF($Z$3=$CE$21,AZ13,IF($Z$3=$CE$27,AZ37,IF($Z$3=$CE$28,AZ48,AZ25)))</f>
        <v>0</v>
      </c>
      <c r="V13" s="395">
        <f t="shared" si="2"/>
        <v>0</v>
      </c>
      <c r="W13" s="395">
        <f t="shared" si="2"/>
        <v>0</v>
      </c>
      <c r="X13" s="395">
        <f t="shared" si="2"/>
        <v>0</v>
      </c>
      <c r="Y13" s="395">
        <f t="shared" si="2"/>
        <v>0</v>
      </c>
      <c r="Z13" s="395">
        <f t="shared" si="2"/>
        <v>0</v>
      </c>
      <c r="AA13" s="395">
        <f t="shared" si="2"/>
        <v>1</v>
      </c>
      <c r="AB13" s="395">
        <f t="shared" si="2"/>
        <v>0</v>
      </c>
      <c r="AC13" s="395">
        <f t="shared" si="2"/>
        <v>0</v>
      </c>
      <c r="AD13" s="395">
        <f t="shared" si="2"/>
        <v>0</v>
      </c>
      <c r="AE13" s="395">
        <f t="shared" si="2"/>
        <v>1</v>
      </c>
      <c r="AF13" s="395">
        <f t="shared" si="2"/>
        <v>0</v>
      </c>
      <c r="AG13" s="398">
        <f>AU13</f>
        <v>8000</v>
      </c>
      <c r="AH13" s="396">
        <f>(U13*0.2+V13*0.25+X13*0.4+Y13*0.5+AA13*0.6+AC13*0.75+AD13*0.8+AE13)*BT13</f>
        <v>4833.5039999999999</v>
      </c>
      <c r="AI13" s="442">
        <f t="shared" ref="AI13:AI14" si="3">U13*$U$8</f>
        <v>0</v>
      </c>
      <c r="AJ13" s="442">
        <f t="shared" ref="AJ13:AJ14" si="4">V13*$V$8</f>
        <v>0</v>
      </c>
      <c r="AK13" s="442">
        <f t="shared" ref="AK13:AK14" si="5">W13*$W$8</f>
        <v>0</v>
      </c>
      <c r="AL13" s="442">
        <f t="shared" ref="AL13:AL14" si="6">X13*$X$8</f>
        <v>0</v>
      </c>
      <c r="AM13" s="442">
        <f t="shared" ref="AM13:AM14" si="7">Y13*$Y$8</f>
        <v>0</v>
      </c>
      <c r="AN13" s="442">
        <f t="shared" ref="AN13:AN14" si="8">Z13*$Z$8</f>
        <v>0</v>
      </c>
      <c r="AO13" s="442">
        <f t="shared" ref="AO13:AO14" si="9">AA13*$AA$8</f>
        <v>3000</v>
      </c>
      <c r="AP13" s="442">
        <f t="shared" ref="AP13:AP14" si="10">AB13*$AB$8</f>
        <v>0</v>
      </c>
      <c r="AQ13" s="442">
        <f t="shared" ref="AQ13:AQ14" si="11">AC13*$AC$8</f>
        <v>0</v>
      </c>
      <c r="AR13" s="442">
        <f t="shared" ref="AR13:AR14" si="12">AD13*$AD$8</f>
        <v>0</v>
      </c>
      <c r="AS13" s="442">
        <f t="shared" ref="AS13:AS14" si="13">AE13*$AE$8</f>
        <v>5000</v>
      </c>
      <c r="AT13" s="442">
        <f t="shared" ref="AT13:AT14" si="14">AF13*$AF$8</f>
        <v>0</v>
      </c>
      <c r="AU13" s="442">
        <f t="shared" ref="AU13:AU14" si="15">SUM(AI13:AT13)</f>
        <v>8000</v>
      </c>
      <c r="AV13" s="442"/>
      <c r="AW13" s="442"/>
      <c r="AX13" s="363">
        <v>0.47399999999999998</v>
      </c>
      <c r="AY13" s="3">
        <f>AX13*L13*M13/1000</f>
        <v>2.8781279999999998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IF(AND(BL13&gt;4000,BL13&lt;=4950),BM13+1,BM13)</f>
        <v>1</v>
      </c>
      <c r="BK13" s="143">
        <v>0</v>
      </c>
      <c r="BL13" s="185">
        <f>N13-INT($BC$5/L13)*L13*BM13</f>
        <v>2024</v>
      </c>
      <c r="BM13" s="141">
        <f>INT(M13/INT($BC$5/L13))</f>
        <v>1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3020.94</v>
      </c>
      <c r="BU13" s="144"/>
      <c r="BV13" s="51" t="s">
        <v>183</v>
      </c>
    </row>
    <row r="14" spans="2:88" ht="25.05" customHeight="1" thickBot="1" x14ac:dyDescent="0.35">
      <c r="B14" s="490" t="s">
        <v>125</v>
      </c>
      <c r="C14" s="491"/>
      <c r="D14" s="491"/>
      <c r="E14" s="498" t="s">
        <v>99</v>
      </c>
      <c r="F14" s="498"/>
      <c r="G14" s="498"/>
      <c r="H14" s="499"/>
      <c r="J14" s="132" t="str">
        <f>E6</f>
        <v>рамка средняя 4в1</v>
      </c>
      <c r="K14" s="238" t="str">
        <f>IF(J14=CD6,CE6,CE7)</f>
        <v>FA0716.VP500</v>
      </c>
      <c r="L14" s="403">
        <f>IF(AND(E6=CD7,E5&gt;0),K5-78,IF(AND(E6=CD6,E5&gt;0),K5-76,0))</f>
        <v>0</v>
      </c>
      <c r="M14" s="409">
        <f>E9*E5</f>
        <v>0</v>
      </c>
      <c r="N14" s="403">
        <f>L14*M14</f>
        <v>0</v>
      </c>
      <c r="O14" s="397">
        <f>IF(J14=CD7,BM14+IF(BL14&gt;0,1,0),BP14+IF(BO14&gt;0,1,0))</f>
        <v>0</v>
      </c>
      <c r="P14" s="247"/>
      <c r="Q14" s="247"/>
      <c r="R14" s="330">
        <f>O14*BT14</f>
        <v>0</v>
      </c>
      <c r="S14" s="255"/>
      <c r="T14" s="410" t="str">
        <f>J14</f>
        <v>рамка средняя 4в1</v>
      </c>
      <c r="U14" s="395">
        <f t="shared" si="2"/>
        <v>0</v>
      </c>
      <c r="V14" s="395">
        <f t="shared" si="2"/>
        <v>0</v>
      </c>
      <c r="W14" s="395">
        <f t="shared" si="2"/>
        <v>0</v>
      </c>
      <c r="X14" s="395">
        <f t="shared" si="2"/>
        <v>0</v>
      </c>
      <c r="Y14" s="395">
        <f t="shared" si="2"/>
        <v>0</v>
      </c>
      <c r="Z14" s="395">
        <f t="shared" si="2"/>
        <v>0</v>
      </c>
      <c r="AA14" s="395">
        <f t="shared" si="2"/>
        <v>0</v>
      </c>
      <c r="AB14" s="395">
        <f t="shared" si="2"/>
        <v>0</v>
      </c>
      <c r="AC14" s="395">
        <f t="shared" si="2"/>
        <v>0</v>
      </c>
      <c r="AD14" s="395">
        <f t="shared" si="2"/>
        <v>0</v>
      </c>
      <c r="AE14" s="395">
        <f t="shared" si="2"/>
        <v>0</v>
      </c>
      <c r="AF14" s="395">
        <f t="shared" si="2"/>
        <v>0</v>
      </c>
      <c r="AG14" s="398">
        <f>AU14</f>
        <v>0</v>
      </c>
      <c r="AH14" s="405">
        <f>IF(E6=CD6,AW15,AV15)</f>
        <v>0</v>
      </c>
      <c r="AI14" s="442">
        <f t="shared" si="3"/>
        <v>0</v>
      </c>
      <c r="AJ14" s="442">
        <f t="shared" si="4"/>
        <v>0</v>
      </c>
      <c r="AK14" s="442">
        <f t="shared" si="5"/>
        <v>0</v>
      </c>
      <c r="AL14" s="442">
        <f t="shared" si="6"/>
        <v>0</v>
      </c>
      <c r="AM14" s="442">
        <f t="shared" si="7"/>
        <v>0</v>
      </c>
      <c r="AN14" s="442">
        <f t="shared" si="8"/>
        <v>0</v>
      </c>
      <c r="AO14" s="442">
        <f t="shared" si="9"/>
        <v>0</v>
      </c>
      <c r="AP14" s="442">
        <f t="shared" si="10"/>
        <v>0</v>
      </c>
      <c r="AQ14" s="442">
        <f t="shared" si="11"/>
        <v>0</v>
      </c>
      <c r="AR14" s="442">
        <f t="shared" si="12"/>
        <v>0</v>
      </c>
      <c r="AS14" s="442">
        <f t="shared" si="13"/>
        <v>0</v>
      </c>
      <c r="AT14" s="442">
        <f t="shared" si="14"/>
        <v>0</v>
      </c>
      <c r="AU14" s="442">
        <f t="shared" si="1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IF(AND(J14=CD7,BL14&gt;0,BL14&lt;=1000),1,0)</f>
        <v>0</v>
      </c>
      <c r="BA14" s="143">
        <v>0</v>
      </c>
      <c r="BB14" s="191">
        <f>IF(AND(J14=CD6,BO14&gt;0,BO14&lt;=1800),1,0)</f>
        <v>0</v>
      </c>
      <c r="BC14" s="190">
        <f>IF(AND(J14=CD7,BL14&gt;1000,BL14&lt;=2000),1,0)</f>
        <v>0</v>
      </c>
      <c r="BD14" s="143">
        <v>0</v>
      </c>
      <c r="BE14" s="191">
        <f>IF(AND(J14=CD6,BO14&gt;1800,BO14&lt;=2700),1,0)</f>
        <v>0</v>
      </c>
      <c r="BF14" s="190">
        <f>IF(AND(J14=CD7,BL14&gt;2000,BL14&lt;=3000),1,0)</f>
        <v>0</v>
      </c>
      <c r="BG14" s="191">
        <f>IF(AND(J14=CD6,BO14&gt;2700,BO14&lt;=3600),1,0)</f>
        <v>0</v>
      </c>
      <c r="BH14" s="143">
        <v>0</v>
      </c>
      <c r="BI14" s="190">
        <f>IF(AND(J14=CD7,BL14&gt;3000,BL14&lt;=4000),1,0)</f>
        <v>0</v>
      </c>
      <c r="BJ14" s="190">
        <f>IF(AND(J14=CD7,BL14&gt;4000,BL14&lt;=4950),BM14+1,BM14)</f>
        <v>0</v>
      </c>
      <c r="BK14" s="191">
        <f>IF(AND(J14=CD6,BO14&gt;3600,BO14&lt;=5350),BP14+1,BP14)</f>
        <v>0</v>
      </c>
      <c r="BL14" s="185">
        <f>IF(E5&lt;&gt;0,N14-INT(BC5/L14)*L14*BM14,0)</f>
        <v>0</v>
      </c>
      <c r="BM14" s="141">
        <f>IF(AND(E6=CD7,E5&lt;&gt;0),INT(M14/INT(BC5/L14)),0)</f>
        <v>0</v>
      </c>
      <c r="BN14" s="141"/>
      <c r="BO14" s="141">
        <f>IF(E5&lt;&gt;0,N14-INT(BC7/L14)*L14*BP14,0)</f>
        <v>0</v>
      </c>
      <c r="BP14" s="188">
        <f>IF(AND(E6=CD6,E5&lt;&gt;0),INT(M14/INT(BC7/L14)),0)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3539.74</v>
      </c>
      <c r="BU14" s="152"/>
      <c r="BV14" s="1" t="s">
        <v>189</v>
      </c>
      <c r="CE14" s="1" t="s">
        <v>174</v>
      </c>
    </row>
    <row r="15" spans="2:88" ht="25.05" customHeight="1" thickBot="1" x14ac:dyDescent="0.4">
      <c r="B15" s="490" t="s">
        <v>165</v>
      </c>
      <c r="C15" s="491"/>
      <c r="D15" s="491"/>
      <c r="E15" s="488" t="s">
        <v>99</v>
      </c>
      <c r="F15" s="488"/>
      <c r="G15" s="488"/>
      <c r="H15" s="489"/>
      <c r="J15" s="264"/>
      <c r="K15" s="265"/>
      <c r="L15" s="265"/>
      <c r="M15" s="265"/>
      <c r="N15" s="265"/>
      <c r="O15" s="266"/>
      <c r="P15" s="245"/>
      <c r="Q15" s="267"/>
      <c r="R15" s="136">
        <f>SUM(R9:R14)</f>
        <v>40685.449999999997</v>
      </c>
      <c r="S15" s="255"/>
      <c r="T15" s="321"/>
      <c r="U15" s="525" t="s">
        <v>103</v>
      </c>
      <c r="V15" s="525"/>
      <c r="W15" s="525"/>
      <c r="X15" s="525"/>
      <c r="Y15" s="525"/>
      <c r="Z15" s="525"/>
      <c r="AA15" s="525"/>
      <c r="AB15" s="525"/>
      <c r="AC15" s="525"/>
      <c r="AD15" s="525"/>
      <c r="AE15" s="525"/>
      <c r="AF15" s="525"/>
      <c r="AG15" s="526"/>
      <c r="AH15" s="136">
        <f>SUM(AH9:AH14)</f>
        <v>39477.074000000001</v>
      </c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544" t="s">
        <v>526</v>
      </c>
      <c r="BM15" s="544"/>
      <c r="BN15" s="4"/>
      <c r="BO15" s="543" t="s">
        <v>450</v>
      </c>
      <c r="BP15" s="543"/>
      <c r="BQ15" s="4"/>
      <c r="BR15" s="4"/>
      <c r="BS15" s="4"/>
      <c r="BT15" s="4"/>
      <c r="BU15" s="144"/>
      <c r="CE15" s="1" t="s">
        <v>175</v>
      </c>
    </row>
    <row r="16" spans="2:88" ht="25.05" customHeight="1" thickBot="1" x14ac:dyDescent="0.35">
      <c r="B16" s="492" t="s">
        <v>170</v>
      </c>
      <c r="C16" s="493"/>
      <c r="D16" s="493"/>
      <c r="E16" s="488">
        <v>0</v>
      </c>
      <c r="F16" s="488"/>
      <c r="G16" s="488"/>
      <c r="H16" s="489"/>
      <c r="J16" s="12"/>
      <c r="K16" s="6"/>
      <c r="L16" s="6"/>
      <c r="M16" s="6"/>
      <c r="N16" s="6"/>
      <c r="O16" s="13"/>
      <c r="S16" s="256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Z16" s="438"/>
      <c r="BA16" s="54" t="s">
        <v>522</v>
      </c>
      <c r="BU16" s="4"/>
    </row>
    <row r="17" spans="2:83" ht="25.05" customHeight="1" thickBot="1" x14ac:dyDescent="0.35">
      <c r="B17" s="516" t="s">
        <v>475</v>
      </c>
      <c r="C17" s="517"/>
      <c r="D17" s="517"/>
      <c r="E17" s="518">
        <v>0</v>
      </c>
      <c r="F17" s="518"/>
      <c r="G17" s="518"/>
      <c r="H17" s="519"/>
      <c r="J17" s="12"/>
      <c r="K17" s="6"/>
      <c r="L17" s="6"/>
      <c r="M17" s="6"/>
      <c r="N17" s="6"/>
      <c r="O17" s="13"/>
      <c r="P17" s="5"/>
      <c r="Q17" s="5"/>
      <c r="R17" s="6"/>
      <c r="S17" s="5"/>
      <c r="T17" s="5"/>
      <c r="U17" s="6"/>
      <c r="V17" s="6"/>
      <c r="W17" s="6"/>
      <c r="X17" s="6"/>
      <c r="Y17" s="6"/>
      <c r="Z17" s="6"/>
      <c r="AA17" s="6"/>
      <c r="AB17" s="545" t="s">
        <v>102</v>
      </c>
      <c r="AC17" s="545"/>
      <c r="AD17" s="545"/>
      <c r="AE17" s="545"/>
      <c r="AF17" s="545"/>
      <c r="AG17" s="545"/>
      <c r="AH17" s="263">
        <f>AH15+R45</f>
        <v>50987.304000000004</v>
      </c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3"/>
      <c r="AY17" s="54">
        <f>IF(E6=CD6,AY9+AY13+AY15,AY9+AY13+AY14)</f>
        <v>13.393727999999999</v>
      </c>
      <c r="AZ17" s="439"/>
      <c r="BA17" s="3" t="s">
        <v>523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V17" s="1" t="s">
        <v>178</v>
      </c>
    </row>
    <row r="18" spans="2:83" ht="25.05" customHeight="1" thickBot="1" x14ac:dyDescent="0.35">
      <c r="B18" s="490" t="s">
        <v>163</v>
      </c>
      <c r="C18" s="491"/>
      <c r="D18" s="491"/>
      <c r="E18" s="488" t="s">
        <v>99</v>
      </c>
      <c r="F18" s="488"/>
      <c r="G18" s="488"/>
      <c r="H18" s="489"/>
      <c r="J18" s="12"/>
      <c r="K18" s="6"/>
      <c r="L18" s="6"/>
      <c r="M18" s="6"/>
      <c r="N18" s="6"/>
      <c r="O18" s="13"/>
      <c r="P18" s="5"/>
      <c r="Q18" s="5"/>
      <c r="R18" s="6"/>
      <c r="S18" s="5"/>
      <c r="T18" s="5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3"/>
      <c r="AY18" s="145">
        <f>IF(OR(E8=BV11,E8=BV12),AY17/E10,AY17/E9)</f>
        <v>4.4645760000000001</v>
      </c>
      <c r="AZ18" s="3"/>
      <c r="BA18" s="3"/>
      <c r="BB18" s="3"/>
      <c r="BC18" s="3"/>
      <c r="BD18" s="3"/>
      <c r="BE18" s="241" t="s">
        <v>431</v>
      </c>
      <c r="BF18" s="3"/>
      <c r="BG18" s="3"/>
      <c r="BH18" s="3"/>
      <c r="BI18" s="3"/>
      <c r="BJ18" s="3"/>
      <c r="BK18" s="3"/>
      <c r="BL18" s="3"/>
      <c r="BV18" s="1" t="s">
        <v>175</v>
      </c>
    </row>
    <row r="19" spans="2:83" ht="25.05" customHeight="1" thickBot="1" x14ac:dyDescent="0.35">
      <c r="B19" s="514" t="s">
        <v>164</v>
      </c>
      <c r="C19" s="515"/>
      <c r="D19" s="515"/>
      <c r="E19" s="500" t="s">
        <v>99</v>
      </c>
      <c r="F19" s="500"/>
      <c r="G19" s="500"/>
      <c r="H19" s="501"/>
      <c r="J19" s="406" t="s">
        <v>181</v>
      </c>
      <c r="K19" s="402"/>
      <c r="L19" s="402"/>
      <c r="M19" s="6"/>
      <c r="N19" s="6"/>
      <c r="O19" s="13"/>
      <c r="P19" s="5"/>
      <c r="Q19" s="5"/>
      <c r="R19" s="6"/>
      <c r="S19" s="5"/>
      <c r="T19" s="5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</row>
    <row r="20" spans="2:83" ht="25.05" customHeight="1" x14ac:dyDescent="0.3">
      <c r="B20" s="1" t="s">
        <v>473</v>
      </c>
      <c r="J20" s="481" t="s">
        <v>0</v>
      </c>
      <c r="K20" s="482"/>
      <c r="L20" s="482"/>
      <c r="M20" s="482"/>
      <c r="N20" s="404" t="s">
        <v>1</v>
      </c>
      <c r="O20" s="239" t="s">
        <v>8</v>
      </c>
      <c r="P20" s="140"/>
      <c r="Q20" s="140"/>
      <c r="R20" s="261" t="s">
        <v>24</v>
      </c>
      <c r="S20" s="140"/>
      <c r="T20" s="140"/>
      <c r="U20" s="444"/>
      <c r="V20" s="444"/>
      <c r="W20" s="444"/>
      <c r="X20" s="444"/>
      <c r="Y20" s="444"/>
      <c r="Z20" s="444"/>
      <c r="AA20" s="444"/>
      <c r="AB20" s="444"/>
      <c r="AC20" s="444"/>
      <c r="AD20" s="444"/>
      <c r="AE20" s="444"/>
      <c r="AF20" s="444"/>
      <c r="AG20" s="445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53"/>
      <c r="AY20" s="53"/>
      <c r="AZ20" s="96">
        <v>1000</v>
      </c>
      <c r="BA20" s="96">
        <v>1250</v>
      </c>
      <c r="BB20" s="96">
        <v>1800</v>
      </c>
      <c r="BC20" s="96">
        <v>2000</v>
      </c>
      <c r="BD20" s="96">
        <v>2500</v>
      </c>
      <c r="BE20" s="96">
        <v>2700</v>
      </c>
      <c r="BF20" s="96">
        <v>3000</v>
      </c>
      <c r="BG20" s="96">
        <v>3600</v>
      </c>
      <c r="BH20" s="96">
        <v>3750</v>
      </c>
      <c r="BI20" s="96">
        <v>4000</v>
      </c>
      <c r="BJ20" s="96">
        <v>5000</v>
      </c>
      <c r="BK20" s="142">
        <v>5400</v>
      </c>
      <c r="BL20" s="187"/>
      <c r="BM20" s="186"/>
      <c r="BN20" s="186"/>
      <c r="BO20" s="186"/>
      <c r="BP20" s="186"/>
      <c r="BQ20" s="186"/>
      <c r="BR20" s="186"/>
      <c r="BS20" s="6"/>
      <c r="BT20" s="6"/>
      <c r="BV20" s="1" t="s">
        <v>85</v>
      </c>
    </row>
    <row r="21" spans="2:83" ht="25.05" customHeight="1" thickBot="1" x14ac:dyDescent="0.35">
      <c r="B21" s="56"/>
      <c r="C21" s="57"/>
      <c r="D21" s="57"/>
      <c r="E21" s="57"/>
      <c r="F21" s="57"/>
      <c r="G21" s="57"/>
      <c r="H21" s="57"/>
      <c r="J21" s="483" t="s">
        <v>160</v>
      </c>
      <c r="K21" s="484"/>
      <c r="L21" s="484"/>
      <c r="M21" s="484"/>
      <c r="N21" s="206" t="s">
        <v>221</v>
      </c>
      <c r="O21" s="230">
        <f>E9</f>
        <v>3</v>
      </c>
      <c r="P21" s="248"/>
      <c r="Q21" s="248"/>
      <c r="R21" s="262">
        <f>O21*Цены!J149</f>
        <v>8665.3499999999985</v>
      </c>
      <c r="S21" s="243"/>
      <c r="T21" s="309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53"/>
      <c r="AY21" s="53"/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315">
        <f>BK9</f>
        <v>3</v>
      </c>
      <c r="BL21" s="141"/>
      <c r="BM21" s="188"/>
      <c r="BN21" s="188"/>
      <c r="BO21" s="188"/>
      <c r="BP21" s="188"/>
      <c r="BQ21" s="188"/>
      <c r="BR21" s="188"/>
      <c r="BS21" s="144"/>
      <c r="BT21" s="144"/>
      <c r="BV21" s="1" t="s">
        <v>86</v>
      </c>
      <c r="CE21" s="1" t="s">
        <v>425</v>
      </c>
    </row>
    <row r="22" spans="2:83" ht="25.05" customHeight="1" thickBot="1" x14ac:dyDescent="0.35">
      <c r="B22" s="58"/>
      <c r="C22" s="59"/>
      <c r="D22" s="59"/>
      <c r="E22" s="59"/>
      <c r="F22" s="59"/>
      <c r="G22" s="59"/>
      <c r="H22" s="60"/>
      <c r="J22" s="483" t="s">
        <v>67</v>
      </c>
      <c r="K22" s="484"/>
      <c r="L22" s="484"/>
      <c r="M22" s="484"/>
      <c r="N22" s="206" t="s">
        <v>222</v>
      </c>
      <c r="O22" s="230">
        <f>IF(OR(E8=BV6,E8=BV7,E8=BV8,E8=BV9,E8=BV10),O21,
IF(AND(E8=BV11,E10&gt;1),1,
IF(AND(E8=BV12,E10&gt;1),3,
IF(E8=BV13,3,
IF(E8=BV14,6,0)))))</f>
        <v>3</v>
      </c>
      <c r="P22" s="248"/>
      <c r="Q22" s="248"/>
      <c r="R22" s="262">
        <f>O22*Цены!J151</f>
        <v>498.41999999999996</v>
      </c>
      <c r="S22" s="243"/>
      <c r="T22" s="309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446"/>
      <c r="AH22" s="442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  <c r="AS22" s="440"/>
      <c r="AT22" s="440"/>
      <c r="AU22" s="440"/>
      <c r="AV22" s="440"/>
      <c r="AW22" s="440"/>
      <c r="AX22" s="53"/>
      <c r="AY22" s="53"/>
      <c r="AZ22" s="143">
        <v>0</v>
      </c>
      <c r="BA22" s="143">
        <v>0</v>
      </c>
      <c r="BB22" s="143">
        <v>0</v>
      </c>
      <c r="BC22" s="143">
        <v>0</v>
      </c>
      <c r="BD22" s="141">
        <f>$BD$10</f>
        <v>0</v>
      </c>
      <c r="BE22" s="143">
        <v>0</v>
      </c>
      <c r="BF22" s="143">
        <v>0</v>
      </c>
      <c r="BG22" s="143">
        <v>0</v>
      </c>
      <c r="BH22" s="143">
        <v>0</v>
      </c>
      <c r="BI22" s="143">
        <v>0</v>
      </c>
      <c r="BJ22" s="141">
        <f>$BJ$10</f>
        <v>3</v>
      </c>
      <c r="BK22" s="143">
        <v>0</v>
      </c>
      <c r="BL22" s="185">
        <f>$BL$10</f>
        <v>0</v>
      </c>
      <c r="BM22" s="185">
        <f>$BM$10</f>
        <v>3</v>
      </c>
      <c r="BN22" s="141"/>
      <c r="BO22" s="141"/>
      <c r="BP22" s="141"/>
      <c r="BQ22" s="141"/>
      <c r="BR22" s="141"/>
      <c r="BS22" s="3"/>
      <c r="BT22" s="3"/>
      <c r="CE22" s="1" t="s">
        <v>430</v>
      </c>
    </row>
    <row r="23" spans="2:83" ht="25.05" customHeight="1" thickBot="1" x14ac:dyDescent="0.35">
      <c r="B23" s="204" t="s">
        <v>107</v>
      </c>
      <c r="C23" s="62">
        <f>E5+1</f>
        <v>1</v>
      </c>
      <c r="D23" s="63" t="str">
        <f>IF(C23&gt;5,BV33,BV34)</f>
        <v xml:space="preserve"> </v>
      </c>
      <c r="E23" s="329"/>
      <c r="F23" s="329"/>
      <c r="G23" s="329"/>
      <c r="H23" s="64"/>
      <c r="J23" s="529" t="s">
        <v>73</v>
      </c>
      <c r="K23" s="530"/>
      <c r="L23" s="530"/>
      <c r="M23" s="530"/>
      <c r="N23" s="207" t="s">
        <v>223</v>
      </c>
      <c r="O23" s="230">
        <f>IF(OR(E8=BV6,E8=BV9,E8=BV13),ROUNDUP((O21*2-O29)/2,0),
IF(AND(O29=0,OR(E8=BV7,E8=BV8,E8=BV10)),2,
IF(AND(O29=0,E8=BV14),3,
IF(AND(E12=BV23,OR(E8=BV7,E8=BV8,E8=BV10)),0,
IF(AND(E12=BV23,E8=BV14),1,
IF(AND(E12=BV24,OR(E8=BV7,E8=BV8,E8=BV10)),ROUNDUP((O21*2-O29)/2,0),
IF(AND(E12=BV24,E8=BV14),ROUNDUP(((O21-2)*2-O29)/2+1,0),
IF(OR(AND(E11=BV23,OR(E8=BV12,E8=BV11),O29=0),AND(E11=BV24,OR(E8=BV12,E8=BV11),O29&lt;&gt;0),AND(E11=BV24,OR(E8=BV12,E8=BV11),O29=0)),1,0))))))))</f>
        <v>1</v>
      </c>
      <c r="P23" s="248"/>
      <c r="Q23" s="248"/>
      <c r="R23" s="262">
        <f>O23*Цены!J157</f>
        <v>519.9</v>
      </c>
      <c r="S23" s="243"/>
      <c r="T23" s="309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9"/>
      <c r="AH23" s="100"/>
      <c r="AI23" s="442"/>
      <c r="AJ23" s="442"/>
      <c r="AK23" s="442"/>
      <c r="AL23" s="442"/>
      <c r="AM23" s="442"/>
      <c r="AN23" s="442"/>
      <c r="AO23" s="442"/>
      <c r="AP23" s="442"/>
      <c r="AQ23" s="442"/>
      <c r="AR23" s="442"/>
      <c r="AS23" s="442"/>
      <c r="AT23" s="442"/>
      <c r="AU23" s="442"/>
      <c r="AV23" s="442"/>
      <c r="AW23" s="442"/>
      <c r="AX23" s="53"/>
      <c r="AY23" s="53"/>
      <c r="AZ23" s="143">
        <v>0</v>
      </c>
      <c r="BA23" s="143">
        <v>0</v>
      </c>
      <c r="BB23" s="143">
        <v>0</v>
      </c>
      <c r="BC23" s="143">
        <v>0</v>
      </c>
      <c r="BD23" s="141">
        <f>$BD$11</f>
        <v>0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$BJ$11</f>
        <v>2</v>
      </c>
      <c r="BK23" s="143">
        <v>0</v>
      </c>
      <c r="BL23" s="185">
        <f>$BL$11</f>
        <v>0</v>
      </c>
      <c r="BM23" s="185">
        <f>$BM$11</f>
        <v>2</v>
      </c>
      <c r="BN23" s="141"/>
      <c r="BO23" s="141"/>
      <c r="BP23" s="188"/>
      <c r="BQ23" s="188"/>
      <c r="BR23" s="188"/>
      <c r="BS23" s="144"/>
      <c r="BT23" s="144"/>
      <c r="BV23" s="1" t="s">
        <v>98</v>
      </c>
      <c r="CE23" s="1" t="s">
        <v>427</v>
      </c>
    </row>
    <row r="24" spans="2:83" ht="25.05" customHeight="1" x14ac:dyDescent="0.3">
      <c r="B24" s="66"/>
      <c r="C24" s="67"/>
      <c r="D24" s="67"/>
      <c r="E24" s="67"/>
      <c r="F24" s="67"/>
      <c r="G24" s="67"/>
      <c r="H24" s="68"/>
      <c r="J24" s="535" t="s">
        <v>74</v>
      </c>
      <c r="K24" s="536"/>
      <c r="L24" s="536"/>
      <c r="M24" s="536"/>
      <c r="N24" s="140" t="s">
        <v>233</v>
      </c>
      <c r="O24" s="397">
        <f>IF(OR(E8=BV6,E8=BV9,E8=BV13),O29,
IF(AND(O29&lt;&gt;0,E12=BV23,OR(E8=BV7,E8=BV8,E8=BV10,E8=BV14)),4,
IF(AND(O29&lt;&gt;0,E12=BV24,OR(E8=BV7,E8=BV8,E8=BV10,E8=BV14)),O29,
IF(AND(E11=BV23,E8=BV11,O29&lt;&gt;0),2,
IF(AND(E11=BV24,E8=BV11,O29&lt;&gt;0),O29,
IF(AND(E11=BV23,E8=BV12,O29&lt;&gt;0),3,
IF(AND(E11=BV24,E8=BV12,O29&lt;&gt;0),O29+1,
IF(AND(OR(E11=BV24,E11=BV23),E8=BV12,O29=0),1,0))))))))</f>
        <v>1</v>
      </c>
      <c r="P24" s="249"/>
      <c r="Q24" s="249"/>
      <c r="R24" s="262">
        <f>O24*Цены!J158</f>
        <v>117.37</v>
      </c>
      <c r="S24" s="243"/>
      <c r="T24" s="309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9"/>
      <c r="AH24" s="100"/>
      <c r="AI24" s="442"/>
      <c r="AJ24" s="442"/>
      <c r="AK24" s="442"/>
      <c r="AL24" s="442"/>
      <c r="AM24" s="442"/>
      <c r="AN24" s="442"/>
      <c r="AO24" s="442"/>
      <c r="AP24" s="442"/>
      <c r="AQ24" s="442"/>
      <c r="AR24" s="442"/>
      <c r="AS24" s="442"/>
      <c r="AT24" s="442"/>
      <c r="AU24" s="442"/>
      <c r="AV24" s="442"/>
      <c r="AW24" s="442"/>
      <c r="AX24" s="53"/>
      <c r="AY24" s="53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85"/>
      <c r="BM24" s="185"/>
      <c r="BN24" s="141"/>
      <c r="BO24" s="141"/>
      <c r="BP24" s="188"/>
      <c r="BQ24" s="188"/>
      <c r="BR24" s="188"/>
      <c r="BS24" s="144"/>
      <c r="BT24" s="144"/>
      <c r="BV24" s="1" t="s">
        <v>99</v>
      </c>
      <c r="CE24" s="1" t="s">
        <v>428</v>
      </c>
    </row>
    <row r="25" spans="2:83" ht="25.05" customHeight="1" x14ac:dyDescent="0.3">
      <c r="B25" s="66"/>
      <c r="C25" s="67"/>
      <c r="D25" s="67"/>
      <c r="E25" s="67"/>
      <c r="F25" s="67"/>
      <c r="G25" s="67"/>
      <c r="H25" s="68"/>
      <c r="J25" s="483" t="s">
        <v>22</v>
      </c>
      <c r="K25" s="484"/>
      <c r="L25" s="484"/>
      <c r="M25" s="484"/>
      <c r="N25" s="206" t="s">
        <v>225</v>
      </c>
      <c r="O25" s="231">
        <f>IF(OR(AND(E8=BV10,E12=BV23),AND(E8=BV7,E12=BV23),AND(E8=BV8,E12=BV23),AND(E8=BV14,E12=BV23)),1,0)</f>
        <v>0</v>
      </c>
      <c r="P25" s="250"/>
      <c r="Q25" s="250"/>
      <c r="R25" s="262">
        <f>O25*Цены!J128</f>
        <v>0</v>
      </c>
      <c r="S25" s="243"/>
      <c r="T25" s="309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446"/>
      <c r="AH25" s="442"/>
      <c r="AI25" s="442"/>
      <c r="AJ25" s="442"/>
      <c r="AK25" s="442"/>
      <c r="AL25" s="442"/>
      <c r="AM25" s="442"/>
      <c r="AN25" s="442"/>
      <c r="AO25" s="442"/>
      <c r="AP25" s="442"/>
      <c r="AQ25" s="442"/>
      <c r="AR25" s="442"/>
      <c r="AS25" s="442"/>
      <c r="AT25" s="442"/>
      <c r="AU25" s="442"/>
      <c r="AV25" s="442"/>
      <c r="AW25" s="442"/>
      <c r="AX25" s="53"/>
      <c r="AY25" s="53"/>
      <c r="AZ25" s="143">
        <v>0</v>
      </c>
      <c r="BA25" s="141">
        <f>IF(AND(BL25&gt;0,BL25&lt;=1250),1,0)</f>
        <v>0</v>
      </c>
      <c r="BB25" s="143">
        <v>0</v>
      </c>
      <c r="BC25" s="143">
        <v>0</v>
      </c>
      <c r="BD25" s="141">
        <f>IF(AND(BL25&gt;1250,BL25&lt;=2500),1,0)</f>
        <v>1</v>
      </c>
      <c r="BE25" s="143">
        <v>0</v>
      </c>
      <c r="BF25" s="143">
        <v>0</v>
      </c>
      <c r="BG25" s="143">
        <v>0</v>
      </c>
      <c r="BH25" s="141">
        <f>IF(AND(BL25&gt;2500,BL25&lt;=3750),1,0)</f>
        <v>0</v>
      </c>
      <c r="BI25" s="143">
        <v>0</v>
      </c>
      <c r="BJ25" s="141">
        <f>IF(AND(BL25&gt;3750,BL25&lt;=4950),BM25+1,BM25)</f>
        <v>1</v>
      </c>
      <c r="BK25" s="143">
        <v>0</v>
      </c>
      <c r="BL25" s="185">
        <f t="shared" ref="BL25:BM25" si="16">BL13</f>
        <v>2024</v>
      </c>
      <c r="BM25" s="185">
        <f t="shared" si="16"/>
        <v>1</v>
      </c>
      <c r="BN25" s="141"/>
      <c r="BO25" s="141"/>
      <c r="BP25" s="188"/>
      <c r="BQ25" s="188"/>
      <c r="BR25" s="189"/>
      <c r="BS25" s="152"/>
      <c r="BT25" s="152"/>
      <c r="CE25" s="1" t="s">
        <v>429</v>
      </c>
    </row>
    <row r="26" spans="2:83" ht="25.05" customHeight="1" x14ac:dyDescent="0.3">
      <c r="B26" s="69" t="s">
        <v>108</v>
      </c>
      <c r="C26" s="328" t="s">
        <v>109</v>
      </c>
      <c r="D26" s="70" t="s">
        <v>78</v>
      </c>
      <c r="E26" s="328" t="s">
        <v>110</v>
      </c>
      <c r="F26" s="328" t="s">
        <v>111</v>
      </c>
      <c r="G26" s="328" t="s">
        <v>127</v>
      </c>
      <c r="H26" s="71" t="s">
        <v>128</v>
      </c>
      <c r="J26" s="523" t="s">
        <v>252</v>
      </c>
      <c r="K26" s="524"/>
      <c r="L26" s="524"/>
      <c r="M26" s="524"/>
      <c r="N26" s="206" t="s">
        <v>250</v>
      </c>
      <c r="O26" s="231">
        <f>IF(E11=BV24,0,IF(E8=BV11,E10-1,IF(E8=BV12,E10-2,0)))</f>
        <v>0</v>
      </c>
      <c r="P26" s="250"/>
      <c r="Q26" s="250"/>
      <c r="R26" s="262">
        <f>O26*Цены!J129</f>
        <v>0</v>
      </c>
      <c r="S26" s="243"/>
      <c r="T26" s="309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446"/>
      <c r="AH26" s="442"/>
      <c r="AI26" s="442"/>
      <c r="AJ26" s="442"/>
      <c r="AK26" s="442"/>
      <c r="AL26" s="442"/>
      <c r="AM26" s="442"/>
      <c r="AN26" s="442"/>
      <c r="AO26" s="442"/>
      <c r="AP26" s="442"/>
      <c r="AQ26" s="442"/>
      <c r="AR26" s="442"/>
      <c r="AS26" s="442"/>
      <c r="AT26" s="442"/>
      <c r="AU26" s="442"/>
      <c r="AV26" s="442"/>
      <c r="AW26" s="442"/>
      <c r="AX26" s="53"/>
      <c r="AY26" s="53"/>
      <c r="AZ26" s="143">
        <v>0</v>
      </c>
      <c r="BA26" s="190">
        <f>IF(AND(J14=CD7,BL26&gt;0,BL26&lt;=1250),1,0)</f>
        <v>0</v>
      </c>
      <c r="BB26" s="191">
        <f>IF(AND(J14=CD6,BO26&gt;0,BO26&lt;=1800),1,0)</f>
        <v>0</v>
      </c>
      <c r="BC26" s="143">
        <v>0</v>
      </c>
      <c r="BD26" s="190">
        <f>IF(AND(J14=CD7,BL26&gt;1250,BL26&lt;=2500),1,0)</f>
        <v>0</v>
      </c>
      <c r="BE26" s="191">
        <f>IF(AND(J14=CD6,BO26&gt;1800,BO26&lt;=2700),1,0)</f>
        <v>0</v>
      </c>
      <c r="BF26" s="143">
        <v>0</v>
      </c>
      <c r="BG26" s="191">
        <f>IF(AND(J14=CD6,BO26&gt;2700,BO26&lt;=3600),1,0)</f>
        <v>0</v>
      </c>
      <c r="BH26" s="190">
        <f>IF(AND(J14=CD7,BL26&gt;2500,BL26&lt;=3750),1,0)</f>
        <v>0</v>
      </c>
      <c r="BI26" s="143">
        <v>0</v>
      </c>
      <c r="BJ26" s="190">
        <f>IF(AND(J14=CD7,BL26&gt;3750,BL26&lt;=4950),BM26+1,BM26)</f>
        <v>0</v>
      </c>
      <c r="BK26" s="191">
        <f>IF(AND(J14=CD6,BO26&gt;3600,BO26&lt;=5350),BP26+1,BP26)</f>
        <v>0</v>
      </c>
      <c r="BL26" s="185">
        <f>BL14</f>
        <v>0</v>
      </c>
      <c r="BM26" s="185">
        <f>BM14</f>
        <v>0</v>
      </c>
      <c r="BN26" s="141"/>
      <c r="BO26" s="141">
        <f>BO14</f>
        <v>0</v>
      </c>
      <c r="BP26" s="188">
        <f>BP14</f>
        <v>0</v>
      </c>
      <c r="BQ26" s="188"/>
      <c r="BR26" s="188"/>
      <c r="BS26" s="144"/>
      <c r="BT26" s="144"/>
      <c r="CB26" s="301">
        <f>IF(E27&lt;&gt;0,1,0)</f>
        <v>1</v>
      </c>
      <c r="CE26" s="1" t="s">
        <v>426</v>
      </c>
    </row>
    <row r="27" spans="2:83" ht="25.05" customHeight="1" x14ac:dyDescent="0.3">
      <c r="B27" s="72" t="s">
        <v>112</v>
      </c>
      <c r="C27" s="15" t="s">
        <v>12</v>
      </c>
      <c r="D27" s="95">
        <v>0</v>
      </c>
      <c r="E27" s="16">
        <f>K4-IF(E31=0,0,IF(C31=BV27,E31,IF(C31=BV28,E31+2,E31+3)))-IF(E30=0,0,IF(C30=BV27,E30,IF(C30=BV28,E30+2,E30+3)))-IF(E29=0,0,IF(C29=BV27,E29,IF(C29=BV28,E29+2,E29+3)))-IF(E28=0,0,IF(C28=BV27,E28,IF(C28=BV28,E28+2,E28+3)))-44-IF(C27=BV28,2,IF(C27=BV29,3,0))-E5*CF6</f>
        <v>2493</v>
      </c>
      <c r="F27" s="73">
        <f>IF(C27=$BV$29,$K$5-63,IF(C27=$BV$28,$K$5-62,$K$5-60))</f>
        <v>1027</v>
      </c>
      <c r="G27" s="74">
        <f>$E$9</f>
        <v>3</v>
      </c>
      <c r="H27" s="75">
        <f>E27*F27*D27*G27/1000000</f>
        <v>0</v>
      </c>
      <c r="J27" s="473" t="s">
        <v>253</v>
      </c>
      <c r="K27" s="474"/>
      <c r="L27" s="474"/>
      <c r="M27" s="474"/>
      <c r="N27" s="206" t="s">
        <v>254</v>
      </c>
      <c r="O27" s="232">
        <f>IF(AND(O26&gt;0,E11=BV23),1,0)</f>
        <v>0</v>
      </c>
      <c r="P27" s="251"/>
      <c r="Q27" s="251"/>
      <c r="R27" s="262">
        <f>O27*Цены!J130</f>
        <v>0</v>
      </c>
      <c r="S27" s="243"/>
      <c r="T27" s="243"/>
      <c r="U27" s="447"/>
      <c r="V27" s="447"/>
      <c r="W27" s="447"/>
      <c r="X27" s="447"/>
      <c r="Y27" s="447"/>
      <c r="Z27" s="447"/>
      <c r="AA27" s="447"/>
      <c r="AB27" s="447"/>
      <c r="AC27" s="447"/>
      <c r="AD27" s="447"/>
      <c r="AE27" s="447"/>
      <c r="AF27" s="447"/>
      <c r="AG27" s="447"/>
      <c r="AH27" s="256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V27" s="65" t="s">
        <v>10</v>
      </c>
      <c r="CB27" s="301">
        <f>IF(E28&lt;&gt;0,1,0)</f>
        <v>0</v>
      </c>
      <c r="CE27" s="1" t="s">
        <v>527</v>
      </c>
    </row>
    <row r="28" spans="2:83" ht="25.05" customHeight="1" x14ac:dyDescent="0.3">
      <c r="B28" s="72" t="s">
        <v>113</v>
      </c>
      <c r="C28" s="15" t="s">
        <v>12</v>
      </c>
      <c r="D28" s="95">
        <v>0</v>
      </c>
      <c r="E28" s="17">
        <v>0</v>
      </c>
      <c r="F28" s="73">
        <f>IF(C28=$BV$29,$K$5-63,IF(C28=$BV$28,$K$5-62,$K$5-60))</f>
        <v>1027</v>
      </c>
      <c r="G28" s="74">
        <f>IF(E28&lt;&gt;0,$E$9,0)</f>
        <v>0</v>
      </c>
      <c r="H28" s="75">
        <f t="shared" ref="H28:H31" si="17">E28*F28*D28*G28/1000000</f>
        <v>0</v>
      </c>
      <c r="J28" s="523" t="s">
        <v>257</v>
      </c>
      <c r="K28" s="524"/>
      <c r="L28" s="524"/>
      <c r="M28" s="524"/>
      <c r="N28" s="206" t="s">
        <v>258</v>
      </c>
      <c r="O28" s="231">
        <f>IF(E8=BV11,E10-1,
IF(E8=BV12,E10-2,0))</f>
        <v>1</v>
      </c>
      <c r="P28" s="250"/>
      <c r="Q28" s="250"/>
      <c r="R28" s="262">
        <f>O28*Цены!J117</f>
        <v>184.85</v>
      </c>
      <c r="S28" s="243"/>
      <c r="BV28" s="65" t="s">
        <v>11</v>
      </c>
      <c r="CB28" s="301">
        <f>IF(E29&lt;&gt;0,1,0)</f>
        <v>0</v>
      </c>
      <c r="CE28" s="1" t="s">
        <v>525</v>
      </c>
    </row>
    <row r="29" spans="2:83" ht="25.05" customHeight="1" x14ac:dyDescent="0.3">
      <c r="B29" s="72" t="s">
        <v>114</v>
      </c>
      <c r="C29" s="15" t="s">
        <v>12</v>
      </c>
      <c r="D29" s="95">
        <v>0</v>
      </c>
      <c r="E29" s="17">
        <v>0</v>
      </c>
      <c r="F29" s="73">
        <f>IF(C29=$BV$29,$K$5-63,IF(C29=$BV$28,$K$5-62,$K$5-60))</f>
        <v>1027</v>
      </c>
      <c r="G29" s="74">
        <f>IF(E29&lt;&gt;0,$E$9,0)</f>
        <v>0</v>
      </c>
      <c r="H29" s="75">
        <f t="shared" si="17"/>
        <v>0</v>
      </c>
      <c r="J29" s="535" t="s">
        <v>42</v>
      </c>
      <c r="K29" s="536"/>
      <c r="L29" s="536"/>
      <c r="M29" s="536"/>
      <c r="N29" s="207" t="s">
        <v>227</v>
      </c>
      <c r="O29" s="231">
        <f>IF(OR(D15=BV83,E15="нет"),0,
IF(AND(E8=BV6,K5&gt;=900),2,
IF(AND(E8=BV6,K5&gt;=650,K5&lt;900),1,
IF(AND(E12=BV24,OR(E8=BV7,E8=BV8,E8=BV10,E8=BV14),K5&gt;=900),4,
IF(AND(E12=BV24,OR(E8=BV7,E8=BV8,E8=BV10,E8=BV14),K5&lt;900),2,
IF(AND(E12=BV23,OR(E8=BV7,E8=BV8,E8=BV10,E8=BV14)),2,
IF(AND(E8=BV9,K5&gt;=900),4,
IF(AND(E8=BV9,K5&gt;=650,K5&lt;900),2,
IF(AND(E8=BV13,K5&gt;=900),6,
IF(AND(E8=BV13,K5&gt;=650,K5&lt;900),3,
IF(E8=BV11,E9,
IF(E8=BV12,E9-1,0))))))))))))</f>
        <v>0</v>
      </c>
      <c r="P29" s="250"/>
      <c r="Q29" s="250"/>
      <c r="R29" s="262">
        <f>O29*Цены!J103</f>
        <v>0</v>
      </c>
      <c r="S29" s="243"/>
      <c r="T29" s="243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V29" s="65" t="s">
        <v>12</v>
      </c>
      <c r="CB29" s="301">
        <f>IF(E30&lt;&gt;0,1,0)</f>
        <v>0</v>
      </c>
    </row>
    <row r="30" spans="2:83" ht="25.05" customHeight="1" x14ac:dyDescent="0.3">
      <c r="B30" s="72" t="s">
        <v>115</v>
      </c>
      <c r="C30" s="15" t="s">
        <v>12</v>
      </c>
      <c r="D30" s="95">
        <v>0</v>
      </c>
      <c r="E30" s="17">
        <v>0</v>
      </c>
      <c r="F30" s="73">
        <f>IF(C30=$BV$29,$K$5-63,IF(C30=$BV$28,$K$5-62,$K$5-60))</f>
        <v>1027</v>
      </c>
      <c r="G30" s="74">
        <f>IF(E30&lt;&gt;0,$E$9,0)</f>
        <v>0</v>
      </c>
      <c r="H30" s="75">
        <f t="shared" si="17"/>
        <v>0</v>
      </c>
      <c r="J30" s="483" t="s">
        <v>63</v>
      </c>
      <c r="K30" s="484"/>
      <c r="L30" s="484"/>
      <c r="M30" s="484"/>
      <c r="N30" s="206" t="s">
        <v>224</v>
      </c>
      <c r="O30" s="232">
        <f>IF(OR(E8=BV6,E8=BV7),ROUNDUP(L10/500+1,0),0)</f>
        <v>0</v>
      </c>
      <c r="P30" s="251"/>
      <c r="Q30" s="251"/>
      <c r="R30" s="262">
        <f>O30*Цены!J148</f>
        <v>0</v>
      </c>
      <c r="S30" s="243"/>
      <c r="T30" s="243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3"/>
      <c r="AY30" s="3"/>
      <c r="AZ30" s="3"/>
      <c r="BA30" s="3"/>
      <c r="BB30" s="3"/>
      <c r="BC30" s="3"/>
      <c r="BD30" s="3"/>
      <c r="BE30" s="241" t="s">
        <v>524</v>
      </c>
      <c r="BF30" s="3"/>
      <c r="BG30" s="3"/>
      <c r="BH30" s="3"/>
      <c r="BI30" s="3"/>
      <c r="BJ30" s="3"/>
      <c r="BK30" s="3"/>
      <c r="BL30" s="3"/>
      <c r="CB30" s="301">
        <f>IF(E31&lt;&gt;0,1,0)</f>
        <v>0</v>
      </c>
    </row>
    <row r="31" spans="2:83" ht="25.05" customHeight="1" thickBot="1" x14ac:dyDescent="0.35">
      <c r="B31" s="80" t="s">
        <v>116</v>
      </c>
      <c r="C31" s="15" t="s">
        <v>12</v>
      </c>
      <c r="D31" s="95">
        <v>0</v>
      </c>
      <c r="E31" s="17">
        <v>0</v>
      </c>
      <c r="F31" s="73">
        <f>IF(C31=$BV$29,$K$5-63,IF(C31=$BV$28,$K$5-62,$K$5-60))</f>
        <v>1027</v>
      </c>
      <c r="G31" s="74">
        <f>IF(E31&lt;&gt;0,$E$9,0)</f>
        <v>0</v>
      </c>
      <c r="H31" s="75">
        <f t="shared" si="17"/>
        <v>0</v>
      </c>
      <c r="J31" s="483" t="s">
        <v>219</v>
      </c>
      <c r="K31" s="484"/>
      <c r="L31" s="484"/>
      <c r="M31" s="484"/>
      <c r="N31" s="206" t="s">
        <v>218</v>
      </c>
      <c r="O31" s="231">
        <f>IF(OR(E8=BV6,E8=BV7,E8=BV8),2,0)</f>
        <v>0</v>
      </c>
      <c r="P31" s="250"/>
      <c r="Q31" s="250"/>
      <c r="R31" s="262">
        <f>O31*Цены!J107</f>
        <v>0</v>
      </c>
      <c r="S31" s="243"/>
      <c r="T31" s="243"/>
      <c r="V31" s="322"/>
      <c r="W31" s="322"/>
      <c r="X31" s="322"/>
      <c r="Y31" s="322"/>
      <c r="Z31" s="322"/>
      <c r="AI31" s="443"/>
      <c r="AJ31" s="443"/>
      <c r="AK31" s="443"/>
      <c r="AL31" s="443"/>
      <c r="AM31" s="443"/>
      <c r="AN31" s="443"/>
      <c r="AO31" s="443"/>
      <c r="AP31" s="443"/>
      <c r="AQ31" s="443"/>
      <c r="AR31" s="443"/>
      <c r="AS31" s="443"/>
      <c r="AT31" s="443"/>
      <c r="AU31" s="443"/>
      <c r="AV31" s="443"/>
      <c r="AW31" s="443"/>
      <c r="AX31" s="144"/>
      <c r="AY31" s="54" t="s">
        <v>271</v>
      </c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</row>
    <row r="32" spans="2:83" ht="25.05" customHeight="1" thickBot="1" x14ac:dyDescent="0.35">
      <c r="B32" s="66"/>
      <c r="C32" s="67"/>
      <c r="D32" s="67"/>
      <c r="E32" s="520" t="s">
        <v>79</v>
      </c>
      <c r="F32" s="521"/>
      <c r="G32" s="522"/>
      <c r="H32" s="323">
        <f>SUM(H27:H31)</f>
        <v>0</v>
      </c>
      <c r="J32" s="523" t="s">
        <v>125</v>
      </c>
      <c r="K32" s="524"/>
      <c r="L32" s="524"/>
      <c r="M32" s="524"/>
      <c r="N32" s="206" t="s">
        <v>226</v>
      </c>
      <c r="O32" s="231">
        <f>IF(AND(E14=BV23,OR(E8=BV11,E8=BV6,E8=BV12)),1,IF(AND(OR(E8=BV9,E8=BV7,E8=BV8,E8=BV10,E8=BV14),E14=BV23),2,IF(AND(E8=BV13,E14=BV23),3,0)))</f>
        <v>0</v>
      </c>
      <c r="P32" s="250"/>
      <c r="Q32" s="250"/>
      <c r="R32" s="262">
        <f>O32*Цены!J152</f>
        <v>0</v>
      </c>
      <c r="S32" s="243"/>
      <c r="T32" s="243"/>
      <c r="U32" s="78"/>
      <c r="V32" s="78"/>
      <c r="W32" s="6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3"/>
      <c r="AY32" s="146">
        <f>IF(C27=$BV$27,(F27*E27/1000000)*8,IF(C27=$BV$28,(F27*E27/1000000)*6.5,(F27*E27/1000000)*11))</f>
        <v>28.163421</v>
      </c>
      <c r="AZ32" s="96">
        <v>1000</v>
      </c>
      <c r="BA32" s="96">
        <v>1250</v>
      </c>
      <c r="BB32" s="96">
        <v>1800</v>
      </c>
      <c r="BC32" s="96">
        <v>2000</v>
      </c>
      <c r="BD32" s="96">
        <v>2500</v>
      </c>
      <c r="BE32" s="96">
        <v>2700</v>
      </c>
      <c r="BF32" s="96">
        <v>3000</v>
      </c>
      <c r="BG32" s="96">
        <v>3600</v>
      </c>
      <c r="BH32" s="96">
        <v>3750</v>
      </c>
      <c r="BI32" s="96">
        <v>4000</v>
      </c>
      <c r="BJ32" s="96">
        <v>5000</v>
      </c>
      <c r="BK32" s="142">
        <v>5400</v>
      </c>
      <c r="BL32" s="187"/>
      <c r="BM32" s="186"/>
      <c r="BN32" s="186"/>
      <c r="BO32" s="186"/>
      <c r="BP32" s="186"/>
      <c r="BQ32" s="186"/>
      <c r="BR32" s="186"/>
    </row>
    <row r="33" spans="1:74" ht="25.05" customHeight="1" x14ac:dyDescent="0.3">
      <c r="B33" s="66"/>
      <c r="C33" s="82" t="str">
        <f>IF((SUM(CB26:CB30)/C23)&lt;&gt;1,BV43,BV44)</f>
        <v>Верно внесены высоты вставок</v>
      </c>
      <c r="D33" s="329">
        <f>IF(C33=BV44,1,0)</f>
        <v>1</v>
      </c>
      <c r="E33" s="329"/>
      <c r="F33" s="329"/>
      <c r="G33" s="329"/>
      <c r="H33" s="68"/>
      <c r="J33" s="523" t="s">
        <v>228</v>
      </c>
      <c r="K33" s="524"/>
      <c r="L33" s="524"/>
      <c r="M33" s="524"/>
      <c r="N33" s="206" t="s">
        <v>195</v>
      </c>
      <c r="O33" s="231">
        <f>M13*2+M14*2</f>
        <v>12</v>
      </c>
      <c r="P33" s="250"/>
      <c r="Q33" s="250"/>
      <c r="R33" s="262">
        <f>O33*Цены!J184</f>
        <v>109.44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3"/>
      <c r="AY33" s="146">
        <f>IF(C28=$BV$27,(F28*E28/1000000)*8,IF(C28=$BV$28,(F28*E28/1000000)*6.5,(F28*E28/1000000)*11))</f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315">
        <f>BK9</f>
        <v>3</v>
      </c>
      <c r="BL33" s="141"/>
      <c r="BM33" s="188"/>
      <c r="BN33" s="188"/>
      <c r="BO33" s="188"/>
      <c r="BP33" s="188"/>
      <c r="BQ33" s="188"/>
      <c r="BR33" s="188"/>
      <c r="BV33" s="79" t="s">
        <v>117</v>
      </c>
    </row>
    <row r="34" spans="1:74" ht="25.05" customHeight="1" x14ac:dyDescent="0.3">
      <c r="B34" s="66"/>
      <c r="C34" s="67"/>
      <c r="D34" s="67"/>
      <c r="E34" s="67"/>
      <c r="F34" s="67"/>
      <c r="G34" s="67"/>
      <c r="H34" s="68"/>
      <c r="J34" s="523" t="s">
        <v>82</v>
      </c>
      <c r="K34" s="524"/>
      <c r="L34" s="524"/>
      <c r="M34" s="524"/>
      <c r="N34" s="206" t="s">
        <v>261</v>
      </c>
      <c r="O34" s="233">
        <f>ROUNDUP((IF(C27=BV28,(E27+F27)*2*G27,0)+IF(C28=BV28,(E28+F28)*2*G28,0)+IF(C29=BV28,(E29+F29)*2*G29,0)+IF(C30=BV28,(E30+F30)*2*G30,0)+IF(C31=BV28,(E31+F31)*2*G31,0))/1000,0)</f>
        <v>0</v>
      </c>
      <c r="P34" s="252"/>
      <c r="Q34" s="252"/>
      <c r="R34" s="262">
        <f>O34*Цены!J177</f>
        <v>0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3"/>
      <c r="AY34" s="146">
        <f>IF(C29=$BV$27,(F29*E29/1000000)*8,IF(C29=$BV$28,(F29*E29/1000000)*6.5,(F29*E29/1000000)*11))</f>
        <v>0</v>
      </c>
      <c r="AZ34" s="143">
        <v>0</v>
      </c>
      <c r="BA34" s="143">
        <v>0</v>
      </c>
      <c r="BB34" s="143">
        <v>0</v>
      </c>
      <c r="BC34" s="143">
        <v>0</v>
      </c>
      <c r="BD34" s="141">
        <f>$BD$10</f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1">
        <f>$BJ$10</f>
        <v>3</v>
      </c>
      <c r="BK34" s="143">
        <v>0</v>
      </c>
      <c r="BL34" s="185">
        <f>$BL$10</f>
        <v>0</v>
      </c>
      <c r="BM34" s="185">
        <f>$BM$10</f>
        <v>3</v>
      </c>
      <c r="BN34" s="141"/>
      <c r="BO34" s="141"/>
      <c r="BP34" s="141"/>
      <c r="BQ34" s="141"/>
      <c r="BR34" s="141"/>
      <c r="BV34" s="79" t="s">
        <v>94</v>
      </c>
    </row>
    <row r="35" spans="1:74" ht="25.05" customHeight="1" x14ac:dyDescent="0.3">
      <c r="B35" s="66"/>
      <c r="C35" s="84"/>
      <c r="D35" s="84"/>
      <c r="E35" s="85"/>
      <c r="F35" s="85"/>
      <c r="G35" s="85"/>
      <c r="H35" s="68"/>
      <c r="J35" s="523" t="s">
        <v>84</v>
      </c>
      <c r="K35" s="524"/>
      <c r="L35" s="524"/>
      <c r="M35" s="524"/>
      <c r="N35" s="206" t="s">
        <v>196</v>
      </c>
      <c r="O35" s="233">
        <f>ROUNDUP((IF(C27=BV29,(E27+F27)*2*G27,0)+IF(C28=BV29,(E28+F28)*2*G28,0)+IF(C29=BV29,(E29+F29)*2*G29,0)+IF(C30=BV29,(E30+F30)*2*G30,0)+IF(C31=BV29,(E31+F31)*2*G31,0))/1000,0)</f>
        <v>22</v>
      </c>
      <c r="P35" s="252"/>
      <c r="Q35" s="252"/>
      <c r="R35" s="262">
        <f>O35*Цены!J178</f>
        <v>856.02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3"/>
      <c r="AY35" s="146">
        <f>IF(C30=$BV$27,(F30*E30/1000000)*8,IF(C30=$BV$28,(F30*E30/1000000)*6.5,(F30*E30/1000000)*11))</f>
        <v>0</v>
      </c>
      <c r="AZ35" s="143">
        <v>0</v>
      </c>
      <c r="BA35" s="143">
        <v>0</v>
      </c>
      <c r="BB35" s="143">
        <v>0</v>
      </c>
      <c r="BC35" s="143">
        <v>0</v>
      </c>
      <c r="BD35" s="141">
        <f>$BD$11</f>
        <v>0</v>
      </c>
      <c r="BE35" s="143">
        <v>0</v>
      </c>
      <c r="BF35" s="143">
        <v>0</v>
      </c>
      <c r="BG35" s="143">
        <v>0</v>
      </c>
      <c r="BH35" s="143">
        <v>0</v>
      </c>
      <c r="BI35" s="143">
        <v>0</v>
      </c>
      <c r="BJ35" s="141">
        <f>$BJ$11</f>
        <v>2</v>
      </c>
      <c r="BK35" s="143">
        <v>0</v>
      </c>
      <c r="BL35" s="185">
        <f>$BL$11</f>
        <v>0</v>
      </c>
      <c r="BM35" s="185">
        <f>$BM$11</f>
        <v>2</v>
      </c>
      <c r="BN35" s="141"/>
      <c r="BO35" s="141"/>
      <c r="BP35" s="188"/>
      <c r="BQ35" s="188"/>
      <c r="BR35" s="188"/>
    </row>
    <row r="36" spans="1:74" ht="25.05" customHeight="1" thickBot="1" x14ac:dyDescent="0.35">
      <c r="B36" s="66"/>
      <c r="C36" s="67"/>
      <c r="D36" s="67"/>
      <c r="E36" s="67"/>
      <c r="F36" s="67"/>
      <c r="G36" s="67"/>
      <c r="H36" s="68"/>
      <c r="J36" s="523" t="s">
        <v>80</v>
      </c>
      <c r="K36" s="524"/>
      <c r="L36" s="524"/>
      <c r="M36" s="524"/>
      <c r="N36" s="206" t="s">
        <v>197</v>
      </c>
      <c r="O36" s="231">
        <f>IF(E13=BV36,O33,0)</f>
        <v>0</v>
      </c>
      <c r="P36" s="250"/>
      <c r="Q36" s="250"/>
      <c r="R36" s="262">
        <f>O36*Цены!J171</f>
        <v>0</v>
      </c>
      <c r="S36" s="243"/>
      <c r="T36" s="243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3"/>
      <c r="AY36" s="146">
        <f>IF(C31=$BV$27,(F31*E31/1000000)*8,IF(C31=$BV$28,(F31*E31/1000000)*6.5,(F31*E31/1000000)*11))</f>
        <v>0</v>
      </c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85"/>
      <c r="BM36" s="185"/>
      <c r="BN36" s="141"/>
      <c r="BO36" s="141"/>
      <c r="BP36" s="188"/>
      <c r="BQ36" s="188"/>
      <c r="BR36" s="188"/>
      <c r="BV36" s="1" t="s">
        <v>80</v>
      </c>
    </row>
    <row r="37" spans="1:74" ht="25.05" customHeight="1" thickBot="1" x14ac:dyDescent="0.35">
      <c r="B37" s="66"/>
      <c r="C37" s="85" t="str">
        <f>IF(AND(SUM(CB26:CB30)/C23=1,E31=0,C23&lt;&gt;1),BV47,BV48)</f>
        <v xml:space="preserve"> </v>
      </c>
      <c r="D37" s="85"/>
      <c r="E37" s="85"/>
      <c r="F37" s="85"/>
      <c r="G37" s="85"/>
      <c r="H37" s="68"/>
      <c r="J37" s="523" t="s">
        <v>166</v>
      </c>
      <c r="K37" s="524"/>
      <c r="L37" s="524"/>
      <c r="M37" s="524"/>
      <c r="N37" s="208" t="s">
        <v>198</v>
      </c>
      <c r="O37" s="339">
        <f>IF(E13=BV37,O33,0)</f>
        <v>0</v>
      </c>
      <c r="P37" s="249"/>
      <c r="Q37" s="249"/>
      <c r="R37" s="262">
        <f>O37*Цены!J132</f>
        <v>0</v>
      </c>
      <c r="S37" s="243"/>
      <c r="T37" s="243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3"/>
      <c r="AY37" s="147">
        <f>SUM(AY32:AY36)</f>
        <v>28.163421</v>
      </c>
      <c r="AZ37" s="143">
        <v>0</v>
      </c>
      <c r="BA37" s="143">
        <v>0</v>
      </c>
      <c r="BB37" s="143">
        <v>0</v>
      </c>
      <c r="BC37" s="143">
        <v>0</v>
      </c>
      <c r="BD37" s="141">
        <f>IF(AND(BL37&gt;0,BL37&lt;=2500),1,0)</f>
        <v>1</v>
      </c>
      <c r="BE37" s="143">
        <v>0</v>
      </c>
      <c r="BF37" s="143">
        <v>0</v>
      </c>
      <c r="BG37" s="143">
        <v>0</v>
      </c>
      <c r="BH37" s="143">
        <v>0</v>
      </c>
      <c r="BI37" s="143">
        <v>0</v>
      </c>
      <c r="BJ37" s="141">
        <f>IF(AND(BL37&gt;2500,BL37&lt;=4950),BM37+1,BM37)</f>
        <v>1</v>
      </c>
      <c r="BK37" s="143">
        <v>0</v>
      </c>
      <c r="BL37" s="185">
        <f t="shared" ref="BL37:BM37" si="18">BL25</f>
        <v>2024</v>
      </c>
      <c r="BM37" s="185">
        <f t="shared" si="18"/>
        <v>1</v>
      </c>
      <c r="BN37" s="141"/>
      <c r="BO37" s="141"/>
      <c r="BP37" s="188"/>
      <c r="BQ37" s="188"/>
      <c r="BR37" s="189"/>
      <c r="BV37" s="83" t="s">
        <v>159</v>
      </c>
    </row>
    <row r="38" spans="1:74" ht="25.05" customHeight="1" x14ac:dyDescent="0.3">
      <c r="B38" s="66"/>
      <c r="C38" s="67"/>
      <c r="D38" s="67"/>
      <c r="E38" s="67"/>
      <c r="F38" s="67"/>
      <c r="G38" s="67"/>
      <c r="H38" s="68"/>
      <c r="J38" s="473" t="s">
        <v>76</v>
      </c>
      <c r="K38" s="474"/>
      <c r="L38" s="474"/>
      <c r="M38" s="474"/>
      <c r="N38" s="206" t="s">
        <v>199</v>
      </c>
      <c r="O38" s="234">
        <f>IF(E13=BV39,ROUNDUP(L9*M9/1000,0),0)</f>
        <v>0</v>
      </c>
      <c r="P38" s="253"/>
      <c r="Q38" s="253"/>
      <c r="R38" s="262">
        <f>O38*Цены!J161</f>
        <v>0</v>
      </c>
      <c r="S38" s="243"/>
      <c r="T38" s="243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3"/>
      <c r="AY38" s="146"/>
      <c r="AZ38" s="143">
        <v>0</v>
      </c>
      <c r="BA38" s="143">
        <v>0</v>
      </c>
      <c r="BB38" s="143">
        <v>0</v>
      </c>
      <c r="BC38" s="143">
        <v>0</v>
      </c>
      <c r="BD38" s="190">
        <f>IF(AND(J14=CD7,BL38&gt;0,BL38&lt;=2500),1,0)</f>
        <v>0</v>
      </c>
      <c r="BE38" s="191">
        <f>IF(AND(J14=CD6,BO38&gt;0,BO38&lt;=2700),1,0)</f>
        <v>0</v>
      </c>
      <c r="BF38" s="143">
        <v>0</v>
      </c>
      <c r="BG38" s="143">
        <v>0</v>
      </c>
      <c r="BH38" s="143">
        <v>0</v>
      </c>
      <c r="BI38" s="143">
        <v>0</v>
      </c>
      <c r="BJ38" s="190">
        <f>IF(AND(J14=CD7,BL38&gt;2500,BL38&lt;=4950),BM38+1,BM38)</f>
        <v>0</v>
      </c>
      <c r="BK38" s="191">
        <f>IF(AND(J14=CD6,BO38&gt;2700,BO38&lt;=5350),BP38+1,BP38)</f>
        <v>0</v>
      </c>
      <c r="BL38" s="185">
        <f>BL26</f>
        <v>0</v>
      </c>
      <c r="BM38" s="185">
        <f>BM26</f>
        <v>0</v>
      </c>
      <c r="BN38" s="141"/>
      <c r="BO38" s="141">
        <f>BO26</f>
        <v>0</v>
      </c>
      <c r="BP38" s="188">
        <f>BP26</f>
        <v>0</v>
      </c>
      <c r="BQ38" s="188"/>
      <c r="BR38" s="188"/>
      <c r="BV38" s="83" t="s">
        <v>129</v>
      </c>
    </row>
    <row r="39" spans="1:74" ht="25.05" customHeight="1" x14ac:dyDescent="0.3">
      <c r="B39" s="66"/>
      <c r="C39" s="67"/>
      <c r="D39" s="67"/>
      <c r="E39" s="67"/>
      <c r="F39" s="67"/>
      <c r="G39" s="67"/>
      <c r="H39" s="68"/>
      <c r="J39" s="473" t="s">
        <v>129</v>
      </c>
      <c r="K39" s="474"/>
      <c r="L39" s="474"/>
      <c r="M39" s="474"/>
      <c r="N39" s="206" t="s">
        <v>200</v>
      </c>
      <c r="O39" s="234">
        <f>IF(E13=BV38,ROUNDUP(L9*M9/1000,0),0)</f>
        <v>16</v>
      </c>
      <c r="P39" s="253"/>
      <c r="Q39" s="253"/>
      <c r="R39" s="262">
        <f>O39*Цены!J180</f>
        <v>369.76</v>
      </c>
      <c r="S39" s="243"/>
      <c r="T39" s="243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3"/>
      <c r="AY39" s="146"/>
      <c r="AZ39" s="3"/>
      <c r="BA39" s="3"/>
      <c r="BB39" s="3"/>
      <c r="BC39" s="3"/>
      <c r="BD39" s="3"/>
      <c r="BE39" s="3"/>
      <c r="BF39" s="3"/>
      <c r="BG39" s="3"/>
      <c r="BH39" s="3"/>
      <c r="BI39" s="5"/>
      <c r="BJ39" s="5"/>
      <c r="BK39" s="5"/>
      <c r="BL39" s="5"/>
      <c r="BV39" s="1" t="s">
        <v>76</v>
      </c>
    </row>
    <row r="40" spans="1:74" ht="25.05" customHeight="1" x14ac:dyDescent="0.35">
      <c r="B40" s="86"/>
      <c r="C40" s="87"/>
      <c r="D40" s="329"/>
      <c r="E40" s="329"/>
      <c r="F40" s="329"/>
      <c r="G40" s="6"/>
      <c r="H40" s="13"/>
      <c r="J40" s="473" t="s">
        <v>161</v>
      </c>
      <c r="K40" s="474"/>
      <c r="L40" s="474"/>
      <c r="M40" s="474"/>
      <c r="N40" s="293" t="s">
        <v>201</v>
      </c>
      <c r="O40" s="232">
        <f>IF(O39&gt;0,M9*2,0)</f>
        <v>12</v>
      </c>
      <c r="P40" s="251"/>
      <c r="Q40" s="251"/>
      <c r="R40" s="262">
        <f>O40*Цены!J176</f>
        <v>189.12</v>
      </c>
      <c r="S40" s="243"/>
      <c r="T40" s="243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5"/>
      <c r="BJ40" s="5"/>
      <c r="BK40" s="5"/>
      <c r="BL40" s="5"/>
      <c r="BV40" s="6"/>
    </row>
    <row r="41" spans="1:74" ht="25.05" customHeight="1" x14ac:dyDescent="0.3">
      <c r="B41" s="12"/>
      <c r="C41" s="6"/>
      <c r="D41" s="6"/>
      <c r="E41" s="6"/>
      <c r="F41" s="6"/>
      <c r="G41" s="6"/>
      <c r="H41" s="13"/>
      <c r="J41" s="473" t="s">
        <v>162</v>
      </c>
      <c r="K41" s="474"/>
      <c r="L41" s="474"/>
      <c r="M41" s="474"/>
      <c r="N41" s="206" t="s">
        <v>230</v>
      </c>
      <c r="O41" s="232">
        <f>E16</f>
        <v>0</v>
      </c>
      <c r="P41" s="251"/>
      <c r="Q41" s="251"/>
      <c r="R41" s="262">
        <f>O41*Цены!J146</f>
        <v>0</v>
      </c>
      <c r="S41" s="243"/>
      <c r="T41" s="243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3"/>
      <c r="AY41" s="3"/>
      <c r="AZ41" s="3"/>
      <c r="BA41" s="3"/>
      <c r="BB41" s="3"/>
      <c r="BC41" s="3"/>
      <c r="BD41" s="3"/>
      <c r="BE41" s="241" t="s">
        <v>525</v>
      </c>
      <c r="BF41" s="3"/>
      <c r="BG41" s="3"/>
      <c r="BH41" s="3"/>
      <c r="BI41" s="3"/>
      <c r="BJ41" s="3"/>
      <c r="BK41" s="3"/>
      <c r="BL41" s="3"/>
    </row>
    <row r="42" spans="1:74" ht="25.05" customHeight="1" x14ac:dyDescent="0.3">
      <c r="B42" s="12"/>
      <c r="C42" s="6"/>
      <c r="D42" s="6"/>
      <c r="E42" s="6"/>
      <c r="F42" s="6"/>
      <c r="G42" s="6"/>
      <c r="H42" s="13"/>
      <c r="J42" s="478" t="s">
        <v>476</v>
      </c>
      <c r="K42" s="479"/>
      <c r="L42" s="479"/>
      <c r="M42" s="479"/>
      <c r="N42" s="236" t="s">
        <v>477</v>
      </c>
      <c r="O42" s="339">
        <f>E17</f>
        <v>0</v>
      </c>
      <c r="P42" s="251"/>
      <c r="Q42" s="251"/>
      <c r="R42" s="262">
        <f>O43*Цены!J114</f>
        <v>0</v>
      </c>
      <c r="S42" s="243"/>
      <c r="T42" s="243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5"/>
      <c r="AY42" s="5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</row>
    <row r="43" spans="1:74" ht="25.05" customHeight="1" x14ac:dyDescent="0.3">
      <c r="B43" s="12"/>
      <c r="C43" s="6"/>
      <c r="D43" s="6"/>
      <c r="E43" s="6"/>
      <c r="F43" s="6"/>
      <c r="G43" s="6"/>
      <c r="H43" s="13"/>
      <c r="J43" s="473" t="s">
        <v>163</v>
      </c>
      <c r="K43" s="474"/>
      <c r="L43" s="474"/>
      <c r="M43" s="474"/>
      <c r="N43" s="206" t="s">
        <v>232</v>
      </c>
      <c r="O43" s="232">
        <f>IF(OR(OR(E8=BV6,E8=BV9,E8=BV11,E8=BV12,E8=BV13),E18="нет"),0,
IF(OR(E8=BV7,E8=BV8,E8=BV10,E8=BV14),1,0))</f>
        <v>0</v>
      </c>
      <c r="P43" s="251"/>
      <c r="Q43" s="251"/>
      <c r="R43" s="262">
        <f>O44*Цены!J111</f>
        <v>0</v>
      </c>
      <c r="S43" s="243"/>
      <c r="T43" s="243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5"/>
      <c r="AY43" s="5"/>
      <c r="AZ43" s="96">
        <v>1000</v>
      </c>
      <c r="BA43" s="96">
        <v>1250</v>
      </c>
      <c r="BB43" s="96">
        <v>1800</v>
      </c>
      <c r="BC43" s="96">
        <v>2000</v>
      </c>
      <c r="BD43" s="96">
        <v>2500</v>
      </c>
      <c r="BE43" s="96">
        <v>2700</v>
      </c>
      <c r="BF43" s="96">
        <v>3000</v>
      </c>
      <c r="BG43" s="96">
        <v>3600</v>
      </c>
      <c r="BH43" s="96">
        <v>3750</v>
      </c>
      <c r="BI43" s="96">
        <v>4000</v>
      </c>
      <c r="BJ43" s="96">
        <v>5000</v>
      </c>
      <c r="BK43" s="142">
        <v>5400</v>
      </c>
      <c r="BL43" s="187"/>
      <c r="BM43" s="186"/>
      <c r="BN43" s="186"/>
      <c r="BO43" s="186"/>
      <c r="BP43" s="186"/>
      <c r="BQ43" s="186"/>
      <c r="BR43" s="186"/>
      <c r="BV43" s="79" t="s">
        <v>118</v>
      </c>
    </row>
    <row r="44" spans="1:74" ht="25.05" customHeight="1" thickBot="1" x14ac:dyDescent="0.35">
      <c r="B44" s="12"/>
      <c r="C44" s="6"/>
      <c r="D44" s="6"/>
      <c r="E44" s="6"/>
      <c r="F44" s="6"/>
      <c r="G44" s="6"/>
      <c r="H44" s="13"/>
      <c r="J44" s="473" t="s">
        <v>164</v>
      </c>
      <c r="K44" s="474"/>
      <c r="L44" s="474"/>
      <c r="M44" s="474"/>
      <c r="N44" s="206" t="s">
        <v>231</v>
      </c>
      <c r="O44" s="232">
        <f>IF(E19=BV24,0,
IF(E8=BV9,1,
IF(E8=BV13,2,
IF(AND(OR(E8=BV11,E8=BV12),E11=BV23),1,
IF(AND(E8=BV12,E11=BV24),E10-1,0)))))</f>
        <v>0</v>
      </c>
      <c r="P44" s="250"/>
      <c r="Q44" s="250"/>
      <c r="R44" s="262">
        <f>O45*Цены!J167</f>
        <v>0</v>
      </c>
      <c r="S44" s="257"/>
      <c r="T44" s="257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5"/>
      <c r="AY44" s="5"/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315">
        <f>BK9</f>
        <v>3</v>
      </c>
      <c r="BL44" s="141"/>
      <c r="BM44" s="188"/>
      <c r="BN44" s="188"/>
      <c r="BO44" s="188"/>
      <c r="BP44" s="188"/>
      <c r="BQ44" s="188"/>
      <c r="BR44" s="188"/>
      <c r="BV44" s="79" t="s">
        <v>119</v>
      </c>
    </row>
    <row r="45" spans="1:74" ht="25.05" customHeight="1" thickBot="1" x14ac:dyDescent="0.35">
      <c r="B45" s="12"/>
      <c r="C45" s="6"/>
      <c r="D45" s="6"/>
      <c r="E45" s="6"/>
      <c r="F45" s="6"/>
      <c r="G45" s="6"/>
      <c r="H45" s="13"/>
      <c r="J45" s="476" t="s">
        <v>470</v>
      </c>
      <c r="K45" s="477"/>
      <c r="L45" s="477"/>
      <c r="M45" s="477"/>
      <c r="N45" s="448" t="s">
        <v>471</v>
      </c>
      <c r="O45" s="449">
        <f>O26</f>
        <v>0</v>
      </c>
      <c r="P45" s="5"/>
      <c r="Q45" s="550" t="s">
        <v>432</v>
      </c>
      <c r="R45" s="134">
        <f>SUM(R21:R44)</f>
        <v>11510.230000000001</v>
      </c>
      <c r="S45" s="5"/>
      <c r="T45" s="5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5"/>
      <c r="AY45" s="5"/>
      <c r="AZ45" s="143">
        <v>0</v>
      </c>
      <c r="BA45" s="143">
        <v>0</v>
      </c>
      <c r="BB45" s="143">
        <v>0</v>
      </c>
      <c r="BC45" s="143">
        <v>0</v>
      </c>
      <c r="BD45" s="141">
        <f>$BD$10</f>
        <v>0</v>
      </c>
      <c r="BE45" s="143">
        <v>0</v>
      </c>
      <c r="BF45" s="143">
        <v>0</v>
      </c>
      <c r="BG45" s="143">
        <v>0</v>
      </c>
      <c r="BH45" s="143">
        <v>0</v>
      </c>
      <c r="BI45" s="143">
        <v>0</v>
      </c>
      <c r="BJ45" s="141">
        <f>$BJ$10</f>
        <v>3</v>
      </c>
      <c r="BK45" s="143">
        <v>0</v>
      </c>
      <c r="BL45" s="185">
        <f>$BL$10</f>
        <v>0</v>
      </c>
      <c r="BM45" s="185">
        <f>$BM$10</f>
        <v>3</v>
      </c>
      <c r="BN45" s="141"/>
      <c r="BO45" s="141"/>
      <c r="BP45" s="141"/>
      <c r="BQ45" s="141"/>
      <c r="BR45" s="141"/>
    </row>
    <row r="46" spans="1:74" ht="25.05" customHeight="1" thickBot="1" x14ac:dyDescent="0.35">
      <c r="B46" s="12"/>
      <c r="C46" s="6"/>
      <c r="D46" s="6"/>
      <c r="E46" s="6"/>
      <c r="F46" s="6"/>
      <c r="G46" s="325" t="s">
        <v>268</v>
      </c>
      <c r="H46" s="148">
        <f>ROUNDUP((AY18+AY37)*1.1,0)</f>
        <v>36</v>
      </c>
      <c r="J46" s="6"/>
      <c r="K46" s="6"/>
      <c r="L46" s="6"/>
      <c r="M46" s="6"/>
      <c r="N46" s="6"/>
      <c r="O46" s="6"/>
      <c r="P46" s="254"/>
      <c r="Q46" s="550"/>
      <c r="S46" s="257"/>
      <c r="T46" s="257"/>
      <c r="AX46" s="88"/>
      <c r="AY46" s="88"/>
      <c r="AZ46" s="143">
        <v>0</v>
      </c>
      <c r="BA46" s="143">
        <v>0</v>
      </c>
      <c r="BB46" s="143">
        <v>0</v>
      </c>
      <c r="BC46" s="143">
        <v>0</v>
      </c>
      <c r="BD46" s="141">
        <f>$BD$11</f>
        <v>0</v>
      </c>
      <c r="BE46" s="143">
        <v>0</v>
      </c>
      <c r="BF46" s="143">
        <v>0</v>
      </c>
      <c r="BG46" s="143">
        <v>0</v>
      </c>
      <c r="BH46" s="143">
        <v>0</v>
      </c>
      <c r="BI46" s="143">
        <v>0</v>
      </c>
      <c r="BJ46" s="141">
        <f>$BJ$11</f>
        <v>2</v>
      </c>
      <c r="BK46" s="143">
        <v>0</v>
      </c>
      <c r="BL46" s="185">
        <f>$BL$11</f>
        <v>0</v>
      </c>
      <c r="BM46" s="185">
        <f>$BM$11</f>
        <v>2</v>
      </c>
      <c r="BN46" s="141"/>
      <c r="BO46" s="141"/>
      <c r="BP46" s="188"/>
      <c r="BQ46" s="188"/>
      <c r="BR46" s="188"/>
    </row>
    <row r="47" spans="1:74" ht="25.05" customHeight="1" thickBot="1" x14ac:dyDescent="0.4">
      <c r="A47" s="6"/>
      <c r="B47" s="14"/>
      <c r="C47" s="151"/>
      <c r="D47" s="151"/>
      <c r="E47" s="151"/>
      <c r="F47" s="151"/>
      <c r="G47" s="151"/>
      <c r="H47" s="137"/>
      <c r="K47" s="408"/>
      <c r="L47" s="545" t="s">
        <v>528</v>
      </c>
      <c r="M47" s="545"/>
      <c r="N47" s="545"/>
      <c r="O47" s="545"/>
      <c r="P47" s="5"/>
      <c r="Q47" s="5"/>
      <c r="R47" s="134">
        <f>R15+R45+H32</f>
        <v>52195.68</v>
      </c>
      <c r="S47" s="5"/>
      <c r="T47" s="5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89"/>
      <c r="AY47" s="89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85"/>
      <c r="BM47" s="185"/>
      <c r="BN47" s="141"/>
      <c r="BO47" s="141"/>
      <c r="BP47" s="188"/>
      <c r="BQ47" s="188"/>
      <c r="BR47" s="188"/>
      <c r="BV47" s="90" t="s">
        <v>126</v>
      </c>
    </row>
    <row r="48" spans="1:74" ht="30" customHeight="1" x14ac:dyDescent="0.3">
      <c r="A48" s="6"/>
      <c r="R48" s="5"/>
      <c r="S48" s="5"/>
      <c r="T48" s="5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1"/>
      <c r="AY48" s="1"/>
      <c r="AZ48" s="143">
        <v>0</v>
      </c>
      <c r="BA48" s="143">
        <v>0</v>
      </c>
      <c r="BB48" s="143">
        <v>0</v>
      </c>
      <c r="BC48" s="143">
        <v>0</v>
      </c>
      <c r="BD48" s="141">
        <f>IF(AND(BL48&gt;0,BL48&lt;=2500),1,0)</f>
        <v>1</v>
      </c>
      <c r="BE48" s="143">
        <v>0</v>
      </c>
      <c r="BF48" s="143">
        <v>0</v>
      </c>
      <c r="BG48" s="143">
        <v>0</v>
      </c>
      <c r="BH48" s="143">
        <v>0</v>
      </c>
      <c r="BI48" s="143">
        <v>0</v>
      </c>
      <c r="BJ48" s="141">
        <f>IF(AND(BL48&gt;2500,BL48&lt;=4950),BM48+1,BM48)</f>
        <v>1</v>
      </c>
      <c r="BK48" s="143">
        <v>0</v>
      </c>
      <c r="BL48" s="185">
        <f t="shared" ref="BL48:BM48" si="19">BL37</f>
        <v>2024</v>
      </c>
      <c r="BM48" s="185">
        <f t="shared" si="19"/>
        <v>1</v>
      </c>
      <c r="BN48" s="141"/>
      <c r="BO48" s="141"/>
      <c r="BP48" s="188"/>
      <c r="BQ48" s="188"/>
      <c r="BR48" s="189"/>
      <c r="BV48" s="1" t="s">
        <v>94</v>
      </c>
    </row>
    <row r="49" spans="1:79" ht="30" customHeight="1" x14ac:dyDescent="0.3">
      <c r="A49" s="6"/>
      <c r="R49" s="5"/>
      <c r="S49" s="5"/>
      <c r="T49" s="5"/>
      <c r="U49" s="88"/>
      <c r="V49" s="88"/>
      <c r="W49" s="88"/>
      <c r="X49" s="88"/>
      <c r="Y49" s="88"/>
      <c r="Z49" s="88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Z49" s="143">
        <v>0</v>
      </c>
      <c r="BA49" s="143">
        <v>0</v>
      </c>
      <c r="BB49" s="191">
        <f>IF(AND(J14=CD6,BO49&gt;0,BO49&lt;=1800),1,0)</f>
        <v>0</v>
      </c>
      <c r="BC49" s="143">
        <v>0</v>
      </c>
      <c r="BD49" s="190">
        <f>IF(AND(J14=CD7,BL49&gt;0,BL49&lt;=2500),1,0)</f>
        <v>0</v>
      </c>
      <c r="BE49" s="191">
        <f>IF(AND(J14=CD6,BO49&gt;1800,BO49&lt;=2700),1,0)</f>
        <v>0</v>
      </c>
      <c r="BF49" s="143">
        <v>0</v>
      </c>
      <c r="BG49" s="191">
        <f>IF(AND(J14=CD6,BO49&gt;2700,BO49&lt;=3600),1,0)</f>
        <v>0</v>
      </c>
      <c r="BH49" s="143">
        <v>0</v>
      </c>
      <c r="BI49" s="143">
        <v>0</v>
      </c>
      <c r="BJ49" s="190">
        <f>IF(AND(J14=CD7,BL49&gt;2500,BL49&lt;=4950),BM49+1,BM49)</f>
        <v>0</v>
      </c>
      <c r="BK49" s="191">
        <f>IF(AND(J14=CD6,BO49&gt;3600,BO49&lt;=5350),BP49+1,BP49)</f>
        <v>0</v>
      </c>
      <c r="BL49" s="185">
        <f t="shared" ref="BL49:BP49" si="20">BL38</f>
        <v>0</v>
      </c>
      <c r="BM49" s="185">
        <f t="shared" si="20"/>
        <v>0</v>
      </c>
      <c r="BN49" s="185"/>
      <c r="BO49" s="185">
        <f t="shared" si="20"/>
        <v>0</v>
      </c>
      <c r="BP49" s="185">
        <f t="shared" si="20"/>
        <v>0</v>
      </c>
      <c r="BQ49" s="188"/>
      <c r="BR49" s="188"/>
      <c r="BV49" s="6"/>
    </row>
    <row r="50" spans="1:79" ht="30" customHeight="1" x14ac:dyDescent="0.3">
      <c r="A50" s="6"/>
      <c r="R50" s="5"/>
      <c r="S50" s="5"/>
      <c r="T50" s="5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BV50" s="38" t="str">
        <f>Цены!G6</f>
        <v>Серебро матовое</v>
      </c>
    </row>
    <row r="51" spans="1:79" x14ac:dyDescent="0.3">
      <c r="A51" s="6"/>
      <c r="R51" s="5"/>
      <c r="S51" s="5"/>
      <c r="T51" s="5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BV51" s="38" t="str">
        <f>Цены!G7</f>
        <v>Черный матовый</v>
      </c>
    </row>
    <row r="52" spans="1:79" x14ac:dyDescent="0.3">
      <c r="A52" s="6"/>
      <c r="R52" s="5"/>
      <c r="S52" s="5"/>
      <c r="T52" s="5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BV52" s="38" t="str">
        <f>Цены!G8</f>
        <v>Слоновая кость</v>
      </c>
    </row>
    <row r="53" spans="1:79" x14ac:dyDescent="0.3">
      <c r="R53" s="5"/>
      <c r="S53" s="5"/>
      <c r="T53" s="5"/>
      <c r="U53" s="6"/>
      <c r="V53" s="6"/>
      <c r="BV53" s="38" t="str">
        <f>Цены!G9</f>
        <v>Белый матовый</v>
      </c>
    </row>
    <row r="54" spans="1:79" x14ac:dyDescent="0.3">
      <c r="R54" s="6"/>
      <c r="S54" s="6"/>
      <c r="T54" s="6"/>
      <c r="U54" s="6"/>
      <c r="V54" s="6"/>
      <c r="BV54" s="38" t="str">
        <f>Цены!G10</f>
        <v xml:space="preserve">Венге темный </v>
      </c>
    </row>
    <row r="55" spans="1:79" x14ac:dyDescent="0.3">
      <c r="R55" s="6"/>
      <c r="S55" s="6"/>
      <c r="T55" s="6"/>
      <c r="U55" s="6"/>
      <c r="V55" s="6"/>
      <c r="BV55" s="38" t="str">
        <f>Цены!G11</f>
        <v>Дуб белый</v>
      </c>
    </row>
    <row r="56" spans="1:79" x14ac:dyDescent="0.3">
      <c r="BV56" s="38" t="str">
        <f>Цены!G12</f>
        <v xml:space="preserve"> медь античная*</v>
      </c>
    </row>
    <row r="57" spans="1:79" x14ac:dyDescent="0.3">
      <c r="BV57" s="38" t="str">
        <f>Цены!G13</f>
        <v>сталь воронёная</v>
      </c>
    </row>
    <row r="58" spans="1:79" x14ac:dyDescent="0.3">
      <c r="BV58" s="38" t="str">
        <f>Цены!G14</f>
        <v>золото матовое</v>
      </c>
      <c r="CA58" s="1" t="s">
        <v>478</v>
      </c>
    </row>
    <row r="59" spans="1:79" x14ac:dyDescent="0.3">
      <c r="BV59" s="38" t="str">
        <f>Цены!G15</f>
        <v>антрацит</v>
      </c>
      <c r="CA59" s="1" t="s">
        <v>480</v>
      </c>
    </row>
    <row r="60" spans="1:79" x14ac:dyDescent="0.3">
      <c r="BV60" s="38" t="str">
        <f>Цены!G16</f>
        <v>кварц бронзовый*</v>
      </c>
      <c r="CA60" s="1" t="s">
        <v>479</v>
      </c>
    </row>
    <row r="61" spans="1:79" x14ac:dyDescent="0.3">
      <c r="BV61" s="38" t="str">
        <f>Цены!G17</f>
        <v>жемчуг серый*</v>
      </c>
      <c r="CA61" s="1" t="s">
        <v>481</v>
      </c>
    </row>
    <row r="62" spans="1:79" x14ac:dyDescent="0.3">
      <c r="BV62" s="38" t="str">
        <f>Цены!G18</f>
        <v>жемчуг розовый*</v>
      </c>
      <c r="CA62" s="1" t="s">
        <v>482</v>
      </c>
    </row>
    <row r="63" spans="1:79" x14ac:dyDescent="0.3">
      <c r="BV63" s="38"/>
    </row>
    <row r="73" spans="76:76" ht="15.6" x14ac:dyDescent="0.3">
      <c r="BX73" s="48">
        <v>0</v>
      </c>
    </row>
    <row r="74" spans="76:76" ht="15.6" x14ac:dyDescent="0.3">
      <c r="BX74" s="48">
        <v>1</v>
      </c>
    </row>
    <row r="75" spans="76:76" ht="15.6" x14ac:dyDescent="0.3">
      <c r="BX75" s="48">
        <v>2</v>
      </c>
    </row>
    <row r="76" spans="76:76" ht="15.6" x14ac:dyDescent="0.3">
      <c r="BX76" s="48">
        <v>3</v>
      </c>
    </row>
    <row r="77" spans="76:76" ht="15.6" x14ac:dyDescent="0.3">
      <c r="BX77" s="48">
        <v>4</v>
      </c>
    </row>
    <row r="78" spans="76:76" ht="15.6" x14ac:dyDescent="0.3">
      <c r="BX78" s="48">
        <v>5</v>
      </c>
    </row>
    <row r="83" spans="74:74" x14ac:dyDescent="0.3">
      <c r="BV83" s="1" t="s">
        <v>176</v>
      </c>
    </row>
    <row r="84" spans="74:74" x14ac:dyDescent="0.3">
      <c r="BV84" s="1" t="s">
        <v>175</v>
      </c>
    </row>
  </sheetData>
  <sheetProtection algorithmName="SHA-512" hashValue="nQFMa8SasjbHsWfvRPRDyZseFKpJVQy2lKtSR3WdLPB2WekzHpkrvmthUqEZ8pv/inQJ5blNoxuRW2NF+5yEBg==" saltValue="CRaQf/bkDt2LsEog8Ry3Jg==" spinCount="100000" sheet="1" selectLockedCells="1"/>
  <mergeCells count="93">
    <mergeCell ref="R4:R5"/>
    <mergeCell ref="BO15:BP15"/>
    <mergeCell ref="BL15:BM15"/>
    <mergeCell ref="L47:O47"/>
    <mergeCell ref="J7:O7"/>
    <mergeCell ref="R11:R12"/>
    <mergeCell ref="V11:V12"/>
    <mergeCell ref="AC11:AC12"/>
    <mergeCell ref="AB17:AG17"/>
    <mergeCell ref="Q45:Q46"/>
    <mergeCell ref="J24:M24"/>
    <mergeCell ref="J25:M25"/>
    <mergeCell ref="J40:M40"/>
    <mergeCell ref="J41:M41"/>
    <mergeCell ref="J43:M43"/>
    <mergeCell ref="J44:M44"/>
    <mergeCell ref="W3:Y3"/>
    <mergeCell ref="Z3:AA3"/>
    <mergeCell ref="J38:M38"/>
    <mergeCell ref="J39:M39"/>
    <mergeCell ref="J33:M33"/>
    <mergeCell ref="J34:M34"/>
    <mergeCell ref="J35:M35"/>
    <mergeCell ref="J36:M36"/>
    <mergeCell ref="J37:M37"/>
    <mergeCell ref="J29:M29"/>
    <mergeCell ref="J30:M30"/>
    <mergeCell ref="J31:M31"/>
    <mergeCell ref="J28:M28"/>
    <mergeCell ref="U7:AH7"/>
    <mergeCell ref="AH11:AH12"/>
    <mergeCell ref="O11:O12"/>
    <mergeCell ref="E32:G32"/>
    <mergeCell ref="J32:M32"/>
    <mergeCell ref="U15:AG15"/>
    <mergeCell ref="AA11:AA12"/>
    <mergeCell ref="AD11:AD12"/>
    <mergeCell ref="AE11:AE12"/>
    <mergeCell ref="AG11:AG12"/>
    <mergeCell ref="W11:W12"/>
    <mergeCell ref="Z11:Z12"/>
    <mergeCell ref="AB11:AB12"/>
    <mergeCell ref="AF11:AF12"/>
    <mergeCell ref="U11:U12"/>
    <mergeCell ref="X11:X12"/>
    <mergeCell ref="Y11:Y12"/>
    <mergeCell ref="J23:M23"/>
    <mergeCell ref="J26:M26"/>
    <mergeCell ref="B15:D15"/>
    <mergeCell ref="E12:H12"/>
    <mergeCell ref="E13:H13"/>
    <mergeCell ref="E14:H14"/>
    <mergeCell ref="E15:H15"/>
    <mergeCell ref="B14:D14"/>
    <mergeCell ref="B16:D16"/>
    <mergeCell ref="B18:D18"/>
    <mergeCell ref="B19:D19"/>
    <mergeCell ref="B17:D17"/>
    <mergeCell ref="E17:H17"/>
    <mergeCell ref="B1:H1"/>
    <mergeCell ref="E16:H16"/>
    <mergeCell ref="E18:H18"/>
    <mergeCell ref="E19:H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E6:H6"/>
    <mergeCell ref="E7:H7"/>
    <mergeCell ref="B12:D12"/>
    <mergeCell ref="B13:D13"/>
    <mergeCell ref="E8:H8"/>
    <mergeCell ref="E9:H9"/>
    <mergeCell ref="E10:H10"/>
    <mergeCell ref="E11:H11"/>
    <mergeCell ref="J27:M27"/>
    <mergeCell ref="N11:N12"/>
    <mergeCell ref="J45:M45"/>
    <mergeCell ref="J42:M42"/>
    <mergeCell ref="J1:O1"/>
    <mergeCell ref="J20:M20"/>
    <mergeCell ref="J21:M21"/>
    <mergeCell ref="J22:M22"/>
    <mergeCell ref="J3:K3"/>
    <mergeCell ref="J6:M6"/>
  </mergeCells>
  <conditionalFormatting sqref="E7 E3:E5 E11:E14">
    <cfRule type="cellIs" dxfId="163" priority="101" operator="greaterThan">
      <formula>0</formula>
    </cfRule>
  </conditionalFormatting>
  <conditionalFormatting sqref="E8">
    <cfRule type="cellIs" dxfId="162" priority="97" operator="greaterThan">
      <formula>0</formula>
    </cfRule>
  </conditionalFormatting>
  <conditionalFormatting sqref="E15:E16 E18:E19">
    <cfRule type="cellIs" dxfId="161" priority="71" operator="greaterThan">
      <formula>0</formula>
    </cfRule>
  </conditionalFormatting>
  <conditionalFormatting sqref="U9:AF14">
    <cfRule type="cellIs" dxfId="160" priority="61" operator="equal">
      <formula>0</formula>
    </cfRule>
  </conditionalFormatting>
  <conditionalFormatting sqref="K4">
    <cfRule type="expression" dxfId="159" priority="35">
      <formula>$K$4&gt;3200</formula>
    </cfRule>
  </conditionalFormatting>
  <conditionalFormatting sqref="E6">
    <cfRule type="cellIs" dxfId="158" priority="33" operator="greaterThan">
      <formula>0</formula>
    </cfRule>
  </conditionalFormatting>
  <conditionalFormatting sqref="D23:G23">
    <cfRule type="expression" dxfId="157" priority="291">
      <formula>$D$23=$AG$40</formula>
    </cfRule>
  </conditionalFormatting>
  <conditionalFormatting sqref="H46">
    <cfRule type="expression" dxfId="156" priority="29">
      <formula>$H$46&gt;60</formula>
    </cfRule>
  </conditionalFormatting>
  <conditionalFormatting sqref="AH15:AP15 L12:M12 N11:Q11 E27 F27:H31 K4:K5 H32 AI23:AP23 AI21:AP21 L9:Q10 T10:T13 P42:Q44 O43:O45 AI25:AP26 S16 S15:T15 L13:Q14 S46:T46 S13 S10:S11 S9:AP9 U13:AH13 S14:AH14 AW25:AW26 AW21 AW23 AW9:AW11 AW13 U10:AU10 AG11:AU11 AI12:AU14 AW15 O21:Q41 S21:S31 S32:T44">
    <cfRule type="expression" dxfId="155" priority="358">
      <formula>$E$4=0</formula>
    </cfRule>
  </conditionalFormatting>
  <conditionalFormatting sqref="AW31 AI31:AP31 AH17">
    <cfRule type="expression" dxfId="154" priority="376">
      <formula>$E$4=0</formula>
    </cfRule>
  </conditionalFormatting>
  <conditionalFormatting sqref="K5">
    <cfRule type="expression" dxfId="153" priority="377">
      <formula>AND(OR($K$5&lt;600,$K$5&gt;1200),$E$4&gt;0)</formula>
    </cfRule>
  </conditionalFormatting>
  <conditionalFormatting sqref="E4:H4">
    <cfRule type="expression" dxfId="152" priority="28">
      <formula>$E$4&gt;5000</formula>
    </cfRule>
  </conditionalFormatting>
  <conditionalFormatting sqref="AI27:AP27 AW27">
    <cfRule type="expression" dxfId="151" priority="27">
      <formula>$E$4=0</formula>
    </cfRule>
  </conditionalFormatting>
  <conditionalFormatting sqref="AI22:AP22 AW22">
    <cfRule type="expression" dxfId="150" priority="24">
      <formula>$E$4=0</formula>
    </cfRule>
  </conditionalFormatting>
  <conditionalFormatting sqref="E17">
    <cfRule type="cellIs" dxfId="149" priority="13" operator="greaterThan">
      <formula>0</formula>
    </cfRule>
  </conditionalFormatting>
  <conditionalFormatting sqref="AQ25:AV26 AQ21:AV21 AQ23:AV23 AQ9:AV9 AQ15:AV15 AV10:AV11 AV13">
    <cfRule type="expression" dxfId="148" priority="11">
      <formula>$E$4=0</formula>
    </cfRule>
  </conditionalFormatting>
  <conditionalFormatting sqref="AQ31:AV31">
    <cfRule type="expression" dxfId="147" priority="12">
      <formula>$E$4=0</formula>
    </cfRule>
  </conditionalFormatting>
  <conditionalFormatting sqref="AQ27:AV27">
    <cfRule type="expression" dxfId="146" priority="10">
      <formula>$E$4=0</formula>
    </cfRule>
  </conditionalFormatting>
  <conditionalFormatting sqref="AQ22:AV22">
    <cfRule type="expression" dxfId="145" priority="9">
      <formula>$E$4=0</formula>
    </cfRule>
  </conditionalFormatting>
  <conditionalFormatting sqref="C33">
    <cfRule type="expression" dxfId="144" priority="1042">
      <formula>$C$33=$BV$43</formula>
    </cfRule>
    <cfRule type="expression" dxfId="143" priority="1043">
      <formula>$C$33=$BV$44</formula>
    </cfRule>
  </conditionalFormatting>
  <conditionalFormatting sqref="C37">
    <cfRule type="expression" dxfId="142" priority="1044">
      <formula>$C$37=$BV$47</formula>
    </cfRule>
  </conditionalFormatting>
  <conditionalFormatting sqref="E9">
    <cfRule type="expression" dxfId="141" priority="1045">
      <formula>OR($E$8=$BV$11,$E$8=$BV$12)</formula>
    </cfRule>
  </conditionalFormatting>
  <conditionalFormatting sqref="E10">
    <cfRule type="expression" dxfId="140" priority="1046">
      <formula>AND($E$8=$BV$12,$E$10&lt;3)</formula>
    </cfRule>
    <cfRule type="expression" dxfId="139" priority="1047">
      <formula>OR($E$8=$BV$6,$E$8=$BV$7,$E$8=$BV$9,$E$8=$BV$10,$E$8=$BV$13,$E$8=$BV$14)</formula>
    </cfRule>
    <cfRule type="cellIs" dxfId="138" priority="1048" operator="greaterThan">
      <formula>0</formula>
    </cfRule>
  </conditionalFormatting>
  <dataValidations count="11">
    <dataValidation type="list" allowBlank="1" showInputMessage="1" showErrorMessage="1" sqref="E18:E19 E11:E12 E14:E15">
      <formula1>$BV$23:$BV$24</formula1>
    </dataValidation>
    <dataValidation type="list" allowBlank="1" showInputMessage="1" showErrorMessage="1" sqref="C27:C31">
      <formula1>$BV$27:$BV$29</formula1>
    </dataValidation>
    <dataValidation type="list" allowBlank="1" showInputMessage="1" showErrorMessage="1" sqref="E13">
      <formula1>$BV$36:$BV$39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6">
      <formula1>$CD$6:$CD$7</formula1>
    </dataValidation>
    <dataValidation type="list" allowBlank="1" showInputMessage="1" showErrorMessage="1" sqref="E8:H8">
      <formula1>$BV$6:$BV$14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5">
      <formula1>$BX$73:$BX$77</formula1>
    </dataValidation>
    <dataValidation type="list" allowBlank="1" showInputMessage="1" showErrorMessage="1" sqref="E7:H7">
      <formula1>$BV$50:$BV$62</formula1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10">
      <formula1>IF($E$8=$BV$12,$BX$76:$BX$78,$BX$75:$BX$78)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0"/>
  <sheetViews>
    <sheetView topLeftCell="A25" zoomScale="70" zoomScaleNormal="70" zoomScalePageLayoutView="125" workbookViewId="0">
      <selection activeCell="E7" sqref="E7:H7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480" t="s">
        <v>104</v>
      </c>
      <c r="C1" s="480"/>
      <c r="D1" s="480"/>
      <c r="E1" s="480"/>
      <c r="F1" s="480"/>
      <c r="G1" s="480"/>
      <c r="H1" s="480"/>
      <c r="I1" s="149"/>
      <c r="J1" s="149"/>
      <c r="K1" s="480" t="s">
        <v>105</v>
      </c>
      <c r="L1" s="480"/>
      <c r="M1" s="480"/>
      <c r="N1" s="480"/>
      <c r="O1" s="480"/>
      <c r="P1" s="480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02" t="s">
        <v>121</v>
      </c>
      <c r="C3" s="503"/>
      <c r="D3" s="503"/>
      <c r="E3" s="510">
        <v>2600</v>
      </c>
      <c r="F3" s="510"/>
      <c r="G3" s="510"/>
      <c r="H3" s="511"/>
      <c r="K3" s="485" t="s">
        <v>270</v>
      </c>
      <c r="L3" s="558"/>
      <c r="M3" s="340"/>
      <c r="N3" s="342"/>
      <c r="O3" s="437"/>
      <c r="P3" s="437"/>
      <c r="Q3" s="326"/>
      <c r="R3" s="326"/>
      <c r="S3" s="3"/>
      <c r="T3" s="3"/>
      <c r="U3" s="3"/>
      <c r="W3" s="552" t="s">
        <v>424</v>
      </c>
      <c r="X3" s="553"/>
      <c r="Y3" s="554"/>
      <c r="Z3" s="534" t="s">
        <v>425</v>
      </c>
      <c r="AA3" s="53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425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04" t="s">
        <v>433</v>
      </c>
      <c r="C4" s="505"/>
      <c r="D4" s="505"/>
      <c r="E4" s="512">
        <v>2500</v>
      </c>
      <c r="F4" s="512"/>
      <c r="G4" s="512"/>
      <c r="H4" s="513"/>
      <c r="K4" s="21" t="s">
        <v>435</v>
      </c>
      <c r="L4" s="333">
        <f>E3-60</f>
        <v>2540</v>
      </c>
      <c r="M4" s="332" t="s">
        <v>437</v>
      </c>
      <c r="N4" s="343">
        <f>E3-60</f>
        <v>2540</v>
      </c>
      <c r="O4" s="6"/>
      <c r="P4" s="6"/>
      <c r="Q4" s="6"/>
      <c r="R4" s="6"/>
      <c r="S4" s="541" t="s">
        <v>460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04" t="s">
        <v>434</v>
      </c>
      <c r="C5" s="505"/>
      <c r="D5" s="505"/>
      <c r="E5" s="512">
        <v>2500</v>
      </c>
      <c r="F5" s="512"/>
      <c r="G5" s="512"/>
      <c r="H5" s="513"/>
      <c r="K5" s="150" t="s">
        <v>436</v>
      </c>
      <c r="L5" s="334">
        <f>ROUNDUP(IF(OR(E13=BY38,E13=BY39),(E4-10-5-34+39*(E9-1))/E9,(E4-10-34+39*(E9-1))/E9),0)</f>
        <v>845</v>
      </c>
      <c r="M5" s="335" t="s">
        <v>438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42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263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04" t="s">
        <v>449</v>
      </c>
      <c r="C6" s="505"/>
      <c r="D6" s="505"/>
      <c r="E6" s="488">
        <v>0</v>
      </c>
      <c r="F6" s="488"/>
      <c r="G6" s="488"/>
      <c r="H6" s="489"/>
      <c r="K6" s="487"/>
      <c r="L6" s="487"/>
      <c r="M6" s="487"/>
      <c r="N6" s="487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416"/>
      <c r="AK6" s="416"/>
      <c r="AL6" s="416"/>
      <c r="AM6" s="416"/>
      <c r="AN6" s="416"/>
      <c r="AO6" s="416"/>
      <c r="AP6" s="416"/>
      <c r="AQ6" s="416"/>
      <c r="AR6" s="416"/>
      <c r="AS6" s="416"/>
      <c r="AT6" s="416"/>
      <c r="AU6" s="416"/>
      <c r="AV6" s="416"/>
      <c r="AW6" s="416"/>
      <c r="AX6" s="416"/>
      <c r="AY6" s="3"/>
      <c r="AZ6" s="3"/>
      <c r="BA6" s="141" t="s">
        <v>264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458</v>
      </c>
      <c r="CH6" s="1" t="s">
        <v>244</v>
      </c>
      <c r="CI6" s="1">
        <f>IF(E7=CG6,9,8)</f>
        <v>8</v>
      </c>
      <c r="CM6" s="48">
        <v>0</v>
      </c>
    </row>
    <row r="7" spans="2:91" ht="25.05" customHeight="1" x14ac:dyDescent="0.3">
      <c r="B7" s="504" t="s">
        <v>243</v>
      </c>
      <c r="C7" s="505"/>
      <c r="D7" s="505"/>
      <c r="E7" s="488" t="s">
        <v>459</v>
      </c>
      <c r="F7" s="488"/>
      <c r="G7" s="488"/>
      <c r="H7" s="489"/>
      <c r="K7" s="485" t="s">
        <v>182</v>
      </c>
      <c r="L7" s="558"/>
      <c r="M7" s="558"/>
      <c r="N7" s="558"/>
      <c r="O7" s="414"/>
      <c r="P7" s="415"/>
      <c r="Q7" s="324"/>
      <c r="R7" s="324"/>
      <c r="S7" s="258"/>
      <c r="T7" s="324"/>
      <c r="U7" s="413"/>
      <c r="V7" s="537" t="s">
        <v>100</v>
      </c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8"/>
      <c r="AJ7" s="451"/>
      <c r="AK7" s="451"/>
      <c r="AL7" s="451"/>
      <c r="AM7" s="451"/>
      <c r="AN7" s="451"/>
      <c r="AO7" s="451"/>
      <c r="AP7" s="451"/>
      <c r="AQ7" s="451"/>
      <c r="AR7" s="451"/>
      <c r="AS7" s="451"/>
      <c r="AT7" s="451"/>
      <c r="AU7" s="451"/>
      <c r="AV7" s="451"/>
      <c r="AW7" s="451"/>
      <c r="AX7" s="451"/>
      <c r="AY7" s="3" t="s">
        <v>272</v>
      </c>
      <c r="AZ7" s="3"/>
      <c r="BA7" s="185" t="s">
        <v>265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459</v>
      </c>
      <c r="CH7" s="1" t="s">
        <v>260</v>
      </c>
      <c r="CM7" s="48">
        <v>1</v>
      </c>
    </row>
    <row r="8" spans="2:91" ht="25.05" customHeight="1" x14ac:dyDescent="0.3">
      <c r="B8" s="504" t="s">
        <v>122</v>
      </c>
      <c r="C8" s="505"/>
      <c r="D8" s="505"/>
      <c r="E8" s="488" t="s">
        <v>234</v>
      </c>
      <c r="F8" s="488"/>
      <c r="G8" s="488"/>
      <c r="H8" s="489"/>
      <c r="K8" s="411" t="s">
        <v>0</v>
      </c>
      <c r="L8" s="412" t="s">
        <v>1</v>
      </c>
      <c r="M8" s="412" t="s">
        <v>7</v>
      </c>
      <c r="N8" s="205" t="s">
        <v>274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06" t="s">
        <v>439</v>
      </c>
      <c r="C9" s="507"/>
      <c r="D9" s="507"/>
      <c r="E9" s="488">
        <v>3</v>
      </c>
      <c r="F9" s="488"/>
      <c r="G9" s="488"/>
      <c r="H9" s="489"/>
      <c r="J9" s="458" t="s">
        <v>2</v>
      </c>
      <c r="K9" s="22" t="s">
        <v>2</v>
      </c>
      <c r="L9" s="238" t="s">
        <v>190</v>
      </c>
      <c r="M9" s="417">
        <f>L4</f>
        <v>2540</v>
      </c>
      <c r="N9" s="432">
        <f>(E9+E10)*2</f>
        <v>12</v>
      </c>
      <c r="O9" s="417"/>
      <c r="P9" s="422">
        <f>IF(M9&gt;2650,N9,N9/2)</f>
        <v>6</v>
      </c>
      <c r="Q9" s="249"/>
      <c r="R9" s="249"/>
      <c r="S9" s="338">
        <f>P9*BW9</f>
        <v>30019.260000000002</v>
      </c>
      <c r="T9" s="255"/>
      <c r="U9" s="436" t="str">
        <f t="shared" ref="U9:U18" si="0">K9</f>
        <v>вертикальный профиль</v>
      </c>
      <c r="V9" s="420">
        <f t="shared" ref="V9:AG11" si="1">IF($Z$3=$CF$21,BA9,IF($Z$3=$CF$27,BA42,IF($Z$3=$CF$28,BA59,BA26)))</f>
        <v>0</v>
      </c>
      <c r="W9" s="420">
        <f t="shared" si="1"/>
        <v>0</v>
      </c>
      <c r="X9" s="420">
        <f t="shared" si="1"/>
        <v>0</v>
      </c>
      <c r="Y9" s="420">
        <f t="shared" si="1"/>
        <v>0</v>
      </c>
      <c r="Z9" s="420">
        <f t="shared" si="1"/>
        <v>0</v>
      </c>
      <c r="AA9" s="420">
        <f t="shared" si="1"/>
        <v>0</v>
      </c>
      <c r="AB9" s="420">
        <f t="shared" si="1"/>
        <v>0</v>
      </c>
      <c r="AC9" s="420">
        <f t="shared" si="1"/>
        <v>0</v>
      </c>
      <c r="AD9" s="420">
        <f t="shared" si="1"/>
        <v>0</v>
      </c>
      <c r="AE9" s="420">
        <f t="shared" si="1"/>
        <v>0</v>
      </c>
      <c r="AF9" s="420">
        <f t="shared" si="1"/>
        <v>0</v>
      </c>
      <c r="AG9" s="420">
        <f t="shared" si="1"/>
        <v>6</v>
      </c>
      <c r="AH9" s="352"/>
      <c r="AI9" s="242">
        <f>S9</f>
        <v>30019.260000000002</v>
      </c>
      <c r="AJ9" s="442"/>
      <c r="AK9" s="442"/>
      <c r="AL9" s="442"/>
      <c r="AM9" s="442"/>
      <c r="AN9" s="442"/>
      <c r="AO9" s="442"/>
      <c r="AP9" s="442"/>
      <c r="AQ9" s="442"/>
      <c r="AR9" s="442"/>
      <c r="AS9" s="442"/>
      <c r="AT9" s="442"/>
      <c r="AU9" s="442"/>
      <c r="AV9" s="453"/>
      <c r="AW9" s="453"/>
      <c r="AX9" s="453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5003.21</v>
      </c>
      <c r="BX9" s="144"/>
      <c r="BY9" s="51" t="s">
        <v>97</v>
      </c>
      <c r="CF9" s="1" t="s">
        <v>462</v>
      </c>
    </row>
    <row r="10" spans="2:91" ht="25.05" customHeight="1" thickBot="1" x14ac:dyDescent="0.35">
      <c r="B10" s="508" t="s">
        <v>440</v>
      </c>
      <c r="C10" s="509"/>
      <c r="D10" s="509"/>
      <c r="E10" s="488">
        <v>3</v>
      </c>
      <c r="F10" s="488"/>
      <c r="G10" s="488"/>
      <c r="H10" s="489"/>
      <c r="J10" s="459" t="s">
        <v>455</v>
      </c>
      <c r="K10" s="418" t="s">
        <v>455</v>
      </c>
      <c r="L10" s="236" t="s">
        <v>456</v>
      </c>
      <c r="M10" s="417">
        <f>M9</f>
        <v>2540</v>
      </c>
      <c r="N10" s="432">
        <v>2</v>
      </c>
      <c r="O10" s="419"/>
      <c r="P10" s="422">
        <f>IF(M10&gt;2650,N10,N10/2)</f>
        <v>1</v>
      </c>
      <c r="Q10" s="50"/>
      <c r="R10" s="50"/>
      <c r="S10" s="371">
        <f>P10*BW10</f>
        <v>2950.79</v>
      </c>
      <c r="T10" s="255"/>
      <c r="U10" s="436" t="str">
        <f t="shared" si="0"/>
        <v>угловой профиль</v>
      </c>
      <c r="V10" s="420">
        <f t="shared" si="1"/>
        <v>0</v>
      </c>
      <c r="W10" s="420">
        <f t="shared" si="1"/>
        <v>0</v>
      </c>
      <c r="X10" s="420">
        <f t="shared" si="1"/>
        <v>0</v>
      </c>
      <c r="Y10" s="420">
        <f t="shared" si="1"/>
        <v>0</v>
      </c>
      <c r="Z10" s="420">
        <f t="shared" si="1"/>
        <v>0</v>
      </c>
      <c r="AA10" s="420">
        <f t="shared" si="1"/>
        <v>0</v>
      </c>
      <c r="AB10" s="420">
        <f t="shared" si="1"/>
        <v>0</v>
      </c>
      <c r="AC10" s="420">
        <f t="shared" si="1"/>
        <v>0</v>
      </c>
      <c r="AD10" s="420">
        <f t="shared" si="1"/>
        <v>0</v>
      </c>
      <c r="AE10" s="420">
        <f t="shared" si="1"/>
        <v>0</v>
      </c>
      <c r="AF10" s="420">
        <f t="shared" si="1"/>
        <v>0</v>
      </c>
      <c r="AG10" s="420">
        <f t="shared" si="1"/>
        <v>1</v>
      </c>
      <c r="AH10" s="186"/>
      <c r="AI10" s="242">
        <f>S10</f>
        <v>2950.79</v>
      </c>
      <c r="AJ10" s="442"/>
      <c r="AK10" s="442"/>
      <c r="AL10" s="442"/>
      <c r="AM10" s="442"/>
      <c r="AN10" s="442"/>
      <c r="AO10" s="442"/>
      <c r="AP10" s="442"/>
      <c r="AQ10" s="442"/>
      <c r="AR10" s="442"/>
      <c r="AS10" s="442"/>
      <c r="AT10" s="442"/>
      <c r="AU10" s="442"/>
      <c r="AV10" s="453"/>
      <c r="AW10" s="453"/>
      <c r="AX10" s="453"/>
      <c r="AY10" s="450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448</v>
      </c>
      <c r="BQ10" s="188"/>
      <c r="BR10" s="188" t="s">
        <v>447</v>
      </c>
      <c r="BW10" s="144">
        <f t="array" ref="BW10">IFERROR(INDEX(Цены!J:J,MATCH(J10&amp;$E$8,Цены!C:C&amp;Цены!G:G,0)),Цены!J71)</f>
        <v>2950.79</v>
      </c>
      <c r="BX10" s="3"/>
      <c r="BY10" s="51" t="s">
        <v>157</v>
      </c>
      <c r="CF10" s="1" t="s">
        <v>460</v>
      </c>
    </row>
    <row r="11" spans="2:91" ht="25.05" customHeight="1" x14ac:dyDescent="0.3">
      <c r="B11" s="508" t="s">
        <v>252</v>
      </c>
      <c r="C11" s="509"/>
      <c r="D11" s="509"/>
      <c r="E11" s="498" t="s">
        <v>99</v>
      </c>
      <c r="F11" s="498"/>
      <c r="G11" s="498"/>
      <c r="H11" s="499"/>
      <c r="J11" s="458" t="s">
        <v>4</v>
      </c>
      <c r="K11" s="22" t="s">
        <v>441</v>
      </c>
      <c r="L11" s="235" t="s">
        <v>191</v>
      </c>
      <c r="M11" s="417">
        <f>E4-8</f>
        <v>2492</v>
      </c>
      <c r="N11" s="432">
        <f>E9</f>
        <v>3</v>
      </c>
      <c r="O11" s="475">
        <f>M11*N11+M12*N12</f>
        <v>14952</v>
      </c>
      <c r="P11" s="540">
        <f>AF11+Z11</f>
        <v>6</v>
      </c>
      <c r="Q11" s="249"/>
      <c r="R11" s="249"/>
      <c r="S11" s="549">
        <f>P11*BW11</f>
        <v>32266.68</v>
      </c>
      <c r="U11" s="436" t="str">
        <f t="shared" si="0"/>
        <v>направляющая верхняя А</v>
      </c>
      <c r="V11" s="527">
        <f t="shared" si="1"/>
        <v>0</v>
      </c>
      <c r="W11" s="527">
        <f t="shared" si="1"/>
        <v>0</v>
      </c>
      <c r="X11" s="527">
        <f t="shared" si="1"/>
        <v>0</v>
      </c>
      <c r="Y11" s="527">
        <f t="shared" si="1"/>
        <v>0</v>
      </c>
      <c r="Z11" s="527">
        <f t="shared" si="1"/>
        <v>0</v>
      </c>
      <c r="AA11" s="527">
        <f t="shared" si="1"/>
        <v>0</v>
      </c>
      <c r="AB11" s="527">
        <f t="shared" si="1"/>
        <v>0</v>
      </c>
      <c r="AC11" s="527">
        <f t="shared" si="1"/>
        <v>0</v>
      </c>
      <c r="AD11" s="527">
        <f t="shared" si="1"/>
        <v>0</v>
      </c>
      <c r="AE11" s="527">
        <f t="shared" si="1"/>
        <v>0</v>
      </c>
      <c r="AF11" s="527">
        <f t="shared" si="1"/>
        <v>6</v>
      </c>
      <c r="AG11" s="527">
        <f t="shared" si="1"/>
        <v>0</v>
      </c>
      <c r="AH11" s="557">
        <f>AV11</f>
        <v>30000</v>
      </c>
      <c r="AI11" s="555">
        <f>Z11*BW11*0.5+AF11*BW11</f>
        <v>32266.68</v>
      </c>
      <c r="AJ11" s="442">
        <f>V11*$V$8</f>
        <v>0</v>
      </c>
      <c r="AK11" s="442">
        <f>W11*$W$8</f>
        <v>0</v>
      </c>
      <c r="AL11" s="442">
        <f>X11*$X$8</f>
        <v>0</v>
      </c>
      <c r="AM11" s="442">
        <f>Y11*$Y$8</f>
        <v>0</v>
      </c>
      <c r="AN11" s="442">
        <f>Z11*$Z$8</f>
        <v>0</v>
      </c>
      <c r="AO11" s="442">
        <f>AA11*$AA$8</f>
        <v>0</v>
      </c>
      <c r="AP11" s="442">
        <f>AB11*$AB$8</f>
        <v>0</v>
      </c>
      <c r="AQ11" s="442">
        <f>AC11*$AC$8</f>
        <v>0</v>
      </c>
      <c r="AR11" s="442">
        <f>AD11*$AD$8</f>
        <v>0</v>
      </c>
      <c r="AS11" s="442">
        <f>AE11*$AE$8</f>
        <v>0</v>
      </c>
      <c r="AT11" s="442">
        <f>AF11*$AF$8</f>
        <v>30000</v>
      </c>
      <c r="AU11" s="442">
        <f>AG11*$AG$8</f>
        <v>0</v>
      </c>
      <c r="AV11" s="453">
        <f>SUM(AJ11:AU11)</f>
        <v>30000</v>
      </c>
      <c r="AW11" s="453"/>
      <c r="AX11" s="453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5377.78</v>
      </c>
      <c r="BX11" s="144"/>
      <c r="BY11" s="51" t="s">
        <v>106</v>
      </c>
      <c r="CF11" s="1" t="s">
        <v>461</v>
      </c>
    </row>
    <row r="12" spans="2:91" ht="25.05" customHeight="1" x14ac:dyDescent="0.3">
      <c r="B12" s="490" t="s">
        <v>464</v>
      </c>
      <c r="C12" s="491"/>
      <c r="D12" s="491"/>
      <c r="E12" s="498" t="s">
        <v>99</v>
      </c>
      <c r="F12" s="498"/>
      <c r="G12" s="498"/>
      <c r="H12" s="499"/>
      <c r="J12" s="458" t="s">
        <v>4</v>
      </c>
      <c r="K12" s="22" t="s">
        <v>442</v>
      </c>
      <c r="L12" s="235" t="s">
        <v>191</v>
      </c>
      <c r="M12" s="417">
        <f>E5-8</f>
        <v>2492</v>
      </c>
      <c r="N12" s="432">
        <f>E10</f>
        <v>3</v>
      </c>
      <c r="O12" s="475"/>
      <c r="P12" s="540"/>
      <c r="Q12" s="50"/>
      <c r="R12" s="50"/>
      <c r="S12" s="549"/>
      <c r="T12" s="255"/>
      <c r="U12" s="436" t="str">
        <f t="shared" si="0"/>
        <v>направляющая верхняя Б</v>
      </c>
      <c r="V12" s="527"/>
      <c r="W12" s="527"/>
      <c r="X12" s="527"/>
      <c r="Y12" s="527"/>
      <c r="Z12" s="527"/>
      <c r="AA12" s="527"/>
      <c r="AB12" s="527"/>
      <c r="AC12" s="527"/>
      <c r="AD12" s="527"/>
      <c r="AE12" s="527"/>
      <c r="AF12" s="527"/>
      <c r="AG12" s="527"/>
      <c r="AH12" s="557"/>
      <c r="AI12" s="555"/>
      <c r="AJ12" s="442"/>
      <c r="AK12" s="442"/>
      <c r="AL12" s="442"/>
      <c r="AM12" s="442"/>
      <c r="AN12" s="442"/>
      <c r="AO12" s="442"/>
      <c r="AP12" s="442"/>
      <c r="AQ12" s="442"/>
      <c r="AR12" s="442"/>
      <c r="AS12" s="442"/>
      <c r="AT12" s="442"/>
      <c r="AU12" s="442"/>
      <c r="AV12" s="453"/>
      <c r="AW12" s="453"/>
      <c r="AX12" s="453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492" t="s">
        <v>158</v>
      </c>
      <c r="C13" s="493"/>
      <c r="D13" s="493"/>
      <c r="E13" s="498" t="s">
        <v>80</v>
      </c>
      <c r="F13" s="498"/>
      <c r="G13" s="498"/>
      <c r="H13" s="499"/>
      <c r="J13" s="460" t="s">
        <v>5</v>
      </c>
      <c r="K13" s="431" t="s">
        <v>443</v>
      </c>
      <c r="L13" s="238" t="s">
        <v>192</v>
      </c>
      <c r="M13" s="337">
        <f>E4</f>
        <v>2500</v>
      </c>
      <c r="N13" s="432">
        <v>2</v>
      </c>
      <c r="O13" s="475">
        <f>M13*N13+M14*N14</f>
        <v>10000</v>
      </c>
      <c r="P13" s="540">
        <f>AF13+Z13</f>
        <v>2</v>
      </c>
      <c r="Q13" s="249"/>
      <c r="R13" s="249"/>
      <c r="S13" s="549">
        <f>P13*BW13</f>
        <v>3500.6</v>
      </c>
      <c r="T13" s="255"/>
      <c r="U13" s="436" t="str">
        <f t="shared" si="0"/>
        <v>накладка декоративная А</v>
      </c>
      <c r="V13" s="527">
        <f t="shared" ref="V13:AG13" si="2">IF($Z$3=$CF$21,BA13,IF($Z$3=$CF$27,BA46,IF($Z$3=$CF$28,BA63,BA30)))</f>
        <v>0</v>
      </c>
      <c r="W13" s="527">
        <f t="shared" si="2"/>
        <v>0</v>
      </c>
      <c r="X13" s="527">
        <f t="shared" si="2"/>
        <v>0</v>
      </c>
      <c r="Y13" s="527">
        <f t="shared" si="2"/>
        <v>0</v>
      </c>
      <c r="Z13" s="527">
        <f t="shared" si="2"/>
        <v>0</v>
      </c>
      <c r="AA13" s="527">
        <f t="shared" si="2"/>
        <v>0</v>
      </c>
      <c r="AB13" s="527">
        <f t="shared" si="2"/>
        <v>0</v>
      </c>
      <c r="AC13" s="527">
        <f t="shared" si="2"/>
        <v>0</v>
      </c>
      <c r="AD13" s="527">
        <f t="shared" si="2"/>
        <v>0</v>
      </c>
      <c r="AE13" s="527">
        <f t="shared" si="2"/>
        <v>0</v>
      </c>
      <c r="AF13" s="527">
        <f t="shared" si="2"/>
        <v>2</v>
      </c>
      <c r="AG13" s="527">
        <f t="shared" si="2"/>
        <v>0</v>
      </c>
      <c r="AH13" s="557">
        <f>AV13</f>
        <v>10000</v>
      </c>
      <c r="AI13" s="555">
        <f>(Z13*0.5+AF13)*BW13</f>
        <v>3500.6</v>
      </c>
      <c r="AJ13" s="442">
        <f t="shared" ref="AJ13:AJ17" si="3">V13*$V$8</f>
        <v>0</v>
      </c>
      <c r="AK13" s="442">
        <f t="shared" ref="AK13:AK17" si="4">W13*$W$8</f>
        <v>0</v>
      </c>
      <c r="AL13" s="442">
        <f t="shared" ref="AL13:AL17" si="5">X13*$X$8</f>
        <v>0</v>
      </c>
      <c r="AM13" s="442">
        <f t="shared" ref="AM13:AM17" si="6">Y13*$Y$8</f>
        <v>0</v>
      </c>
      <c r="AN13" s="442">
        <f t="shared" ref="AN13:AN17" si="7">Z13*$Z$8</f>
        <v>0</v>
      </c>
      <c r="AO13" s="442">
        <f t="shared" ref="AO13:AO17" si="8">AA13*$AA$8</f>
        <v>0</v>
      </c>
      <c r="AP13" s="442">
        <f t="shared" ref="AP13:AP17" si="9">AB13*$AB$8</f>
        <v>0</v>
      </c>
      <c r="AQ13" s="442">
        <f t="shared" ref="AQ13:AQ17" si="10">AC13*$AC$8</f>
        <v>0</v>
      </c>
      <c r="AR13" s="442">
        <f t="shared" ref="AR13:AR17" si="11">AD13*$AD$8</f>
        <v>0</v>
      </c>
      <c r="AS13" s="442">
        <f t="shared" ref="AS13:AS17" si="12">AE13*$AE$8</f>
        <v>0</v>
      </c>
      <c r="AT13" s="442">
        <f t="shared" ref="AT13:AT17" si="13">AF13*$AF$8</f>
        <v>10000</v>
      </c>
      <c r="AU13" s="442">
        <f t="shared" ref="AU13:AU17" si="14">AG13*$AG$8</f>
        <v>0</v>
      </c>
      <c r="AV13" s="453">
        <f>SUM(AJ13:AU13)</f>
        <v>10000</v>
      </c>
      <c r="AW13" s="453"/>
      <c r="AX13" s="453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 t="shared" ref="BE13" si="15"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6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1750.3</v>
      </c>
      <c r="BX13" s="144"/>
      <c r="BY13" s="51" t="s">
        <v>183</v>
      </c>
    </row>
    <row r="14" spans="2:91" ht="25.05" customHeight="1" x14ac:dyDescent="0.3">
      <c r="B14" s="490" t="s">
        <v>125</v>
      </c>
      <c r="C14" s="491"/>
      <c r="D14" s="491"/>
      <c r="E14" s="498" t="s">
        <v>99</v>
      </c>
      <c r="F14" s="498"/>
      <c r="G14" s="498"/>
      <c r="H14" s="499"/>
      <c r="J14" s="460" t="s">
        <v>5</v>
      </c>
      <c r="K14" s="431" t="s">
        <v>444</v>
      </c>
      <c r="L14" s="238" t="s">
        <v>192</v>
      </c>
      <c r="M14" s="128">
        <f>E5</f>
        <v>2500</v>
      </c>
      <c r="N14" s="129">
        <v>2</v>
      </c>
      <c r="O14" s="475"/>
      <c r="P14" s="540"/>
      <c r="Q14" s="249"/>
      <c r="R14" s="249"/>
      <c r="S14" s="549"/>
      <c r="T14" s="255"/>
      <c r="U14" s="436" t="str">
        <f t="shared" si="0"/>
        <v>накладка декоративная Б</v>
      </c>
      <c r="V14" s="527"/>
      <c r="W14" s="527"/>
      <c r="X14" s="527"/>
      <c r="Y14" s="527"/>
      <c r="Z14" s="527"/>
      <c r="AA14" s="527"/>
      <c r="AB14" s="527"/>
      <c r="AC14" s="527"/>
      <c r="AD14" s="527"/>
      <c r="AE14" s="527"/>
      <c r="AF14" s="527"/>
      <c r="AG14" s="527"/>
      <c r="AH14" s="557"/>
      <c r="AI14" s="555"/>
      <c r="AJ14" s="442"/>
      <c r="AK14" s="442"/>
      <c r="AL14" s="442"/>
      <c r="AM14" s="442"/>
      <c r="AN14" s="442"/>
      <c r="AO14" s="442"/>
      <c r="AP14" s="442"/>
      <c r="AQ14" s="442"/>
      <c r="AR14" s="442"/>
      <c r="AS14" s="442"/>
      <c r="AT14" s="442"/>
      <c r="AU14" s="442"/>
      <c r="AV14" s="453"/>
      <c r="AW14" s="453"/>
      <c r="AX14" s="453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88"/>
      <c r="BS14" s="188"/>
      <c r="BT14" s="144"/>
      <c r="BU14" s="144"/>
      <c r="BV14" s="144"/>
      <c r="BW14" s="144"/>
      <c r="BX14" s="152"/>
      <c r="BY14" s="1" t="s">
        <v>189</v>
      </c>
      <c r="CH14" s="1" t="s">
        <v>174</v>
      </c>
    </row>
    <row r="15" spans="2:91" ht="25.05" customHeight="1" x14ac:dyDescent="0.3">
      <c r="B15" s="490" t="s">
        <v>165</v>
      </c>
      <c r="C15" s="491"/>
      <c r="D15" s="491"/>
      <c r="E15" s="488" t="s">
        <v>99</v>
      </c>
      <c r="F15" s="488"/>
      <c r="G15" s="488"/>
      <c r="H15" s="489"/>
      <c r="J15" s="458" t="s">
        <v>3</v>
      </c>
      <c r="K15" s="22" t="s">
        <v>445</v>
      </c>
      <c r="L15" s="238" t="s">
        <v>259</v>
      </c>
      <c r="M15" s="417">
        <f>L5-78</f>
        <v>767</v>
      </c>
      <c r="N15" s="432">
        <f>E9*2</f>
        <v>6</v>
      </c>
      <c r="O15" s="475">
        <f>M15*N15+M16*N16</f>
        <v>9204</v>
      </c>
      <c r="P15" s="540">
        <f>BN15+BN16+IF(BM15+BM16&gt;BD5,2,IF(BM15+BM16=0,0,1))</f>
        <v>2</v>
      </c>
      <c r="Q15" s="249"/>
      <c r="R15" s="249"/>
      <c r="S15" s="549">
        <f>P15*BW15</f>
        <v>6041.88</v>
      </c>
      <c r="U15" s="436" t="str">
        <f t="shared" si="0"/>
        <v>рамка верхняя А</v>
      </c>
      <c r="V15" s="527">
        <f t="shared" ref="V15:AG15" si="17">IF($Z$3=$CF$21,BA15,IF($Z$3=$CF$27,BA48,IF($Z$3=$CF$28,BA65,BA32)))</f>
        <v>0</v>
      </c>
      <c r="W15" s="527">
        <f t="shared" si="17"/>
        <v>0</v>
      </c>
      <c r="X15" s="527">
        <f t="shared" si="17"/>
        <v>0</v>
      </c>
      <c r="Y15" s="527">
        <f t="shared" si="17"/>
        <v>0</v>
      </c>
      <c r="Z15" s="527">
        <f t="shared" si="17"/>
        <v>0</v>
      </c>
      <c r="AA15" s="527">
        <f t="shared" si="17"/>
        <v>0</v>
      </c>
      <c r="AB15" s="527">
        <f t="shared" si="17"/>
        <v>0</v>
      </c>
      <c r="AC15" s="527">
        <f t="shared" si="17"/>
        <v>0</v>
      </c>
      <c r="AD15" s="527">
        <f t="shared" si="17"/>
        <v>0</v>
      </c>
      <c r="AE15" s="527">
        <f t="shared" si="17"/>
        <v>0</v>
      </c>
      <c r="AF15" s="527">
        <f t="shared" si="17"/>
        <v>2</v>
      </c>
      <c r="AG15" s="527">
        <f t="shared" si="17"/>
        <v>0</v>
      </c>
      <c r="AH15" s="557">
        <f>AV15</f>
        <v>10000</v>
      </c>
      <c r="AI15" s="555">
        <f>(V15*0.2+W15*0.25+Y15*0.4+Z15*0.5+AB15*0.6+AD15*0.75+AE15*0.8+AF15)*BW15</f>
        <v>6041.88</v>
      </c>
      <c r="AJ15" s="442">
        <f t="shared" si="3"/>
        <v>0</v>
      </c>
      <c r="AK15" s="442">
        <f t="shared" si="4"/>
        <v>0</v>
      </c>
      <c r="AL15" s="442">
        <f t="shared" si="5"/>
        <v>0</v>
      </c>
      <c r="AM15" s="442">
        <f t="shared" si="6"/>
        <v>0</v>
      </c>
      <c r="AN15" s="442">
        <f t="shared" si="7"/>
        <v>0</v>
      </c>
      <c r="AO15" s="442">
        <f t="shared" si="8"/>
        <v>0</v>
      </c>
      <c r="AP15" s="442">
        <f t="shared" si="9"/>
        <v>0</v>
      </c>
      <c r="AQ15" s="442">
        <f t="shared" si="10"/>
        <v>0</v>
      </c>
      <c r="AR15" s="442">
        <f t="shared" si="11"/>
        <v>0</v>
      </c>
      <c r="AS15" s="442">
        <f t="shared" si="12"/>
        <v>0</v>
      </c>
      <c r="AT15" s="442">
        <f t="shared" si="13"/>
        <v>10000</v>
      </c>
      <c r="AU15" s="442">
        <f t="shared" si="14"/>
        <v>0</v>
      </c>
      <c r="AV15" s="453">
        <f>SUM(AJ15:AU15)</f>
        <v>10000</v>
      </c>
      <c r="AW15" s="453"/>
      <c r="AX15" s="453"/>
      <c r="AY15" s="363">
        <v>0.47399999999999998</v>
      </c>
      <c r="AZ15" s="3">
        <f>AY15*M15*N15/1000</f>
        <v>2.1813479999999998</v>
      </c>
      <c r="BA15" s="141">
        <f>IF(AND((BM15+BM16)&gt;0,(BM15+BM16)&lt;=1000),1,0)</f>
        <v>0</v>
      </c>
      <c r="BB15" s="143">
        <v>0</v>
      </c>
      <c r="BC15" s="143">
        <v>0</v>
      </c>
      <c r="BD15" s="141">
        <f>IF(AND((BM15+BM16)&gt;1000,(BM15+BM16)&lt;=2000),1,0)</f>
        <v>0</v>
      </c>
      <c r="BE15" s="143">
        <v>0</v>
      </c>
      <c r="BF15" s="143">
        <v>0</v>
      </c>
      <c r="BG15" s="141">
        <f>IF(AND((BM15+BM16)&gt;2000,(BM15+BM16)&lt;=3000),1,0)+IF(AND(BM15&gt;2000,BM15&lt;=3000),1,0)+IF(AND(BM16&gt;2000,BM16&lt;=3000),1,0)</f>
        <v>0</v>
      </c>
      <c r="BH15" s="143">
        <v>0</v>
      </c>
      <c r="BI15" s="143">
        <v>0</v>
      </c>
      <c r="BJ15" s="141">
        <f>IF(AND(BM15&gt;3000,BM15&lt;=4000),1,0)+IF(AND(BM16&gt;3000,BM16&lt;=4000),1,0)+IF(AND((BM15+BM16)&gt;3000,(BM15+BM16)&lt;=4000),1,0)</f>
        <v>0</v>
      </c>
      <c r="BK15" s="141">
        <f>IF(BP15=1,0,IF(AND(BM15&gt;4000,BM15&lt;=4950),1,0)+IF(AND(BM16&gt;4000,BM16&lt;=4950),1,0))+BP15+BN15+BN16</f>
        <v>2</v>
      </c>
      <c r="BL15" s="143">
        <v>0</v>
      </c>
      <c r="BM15" s="185">
        <f>M15*N15-INT($BD$5/M15)*M15*BN15</f>
        <v>0</v>
      </c>
      <c r="BN15" s="141">
        <f>INT(N15/INT($BD$5/M15))</f>
        <v>1</v>
      </c>
      <c r="BO15" s="141"/>
      <c r="BP15" s="141">
        <f>IF(AND((BM15+BM16)&gt;4000,(BM15+BM16)&lt;=5000),1,0)</f>
        <v>0</v>
      </c>
      <c r="BQ15" s="188"/>
      <c r="BR15" s="188"/>
      <c r="BS15" s="188"/>
      <c r="BT15" s="144"/>
      <c r="BU15" s="144"/>
      <c r="BV15" s="144"/>
      <c r="BW15" s="144">
        <f t="array" ref="BW15">INDEX(Цены!J:J,MATCH(J15&amp;$E$8,Цены!C:C&amp;Цены!G:G,0))</f>
        <v>3020.94</v>
      </c>
      <c r="BX15" s="144"/>
      <c r="CH15" s="1" t="s">
        <v>175</v>
      </c>
    </row>
    <row r="16" spans="2:91" ht="25.05" customHeight="1" x14ac:dyDescent="0.3">
      <c r="B16" s="492" t="s">
        <v>170</v>
      </c>
      <c r="C16" s="493"/>
      <c r="D16" s="493"/>
      <c r="E16" s="488">
        <v>0</v>
      </c>
      <c r="F16" s="488"/>
      <c r="G16" s="488"/>
      <c r="H16" s="489"/>
      <c r="J16" s="458" t="s">
        <v>3</v>
      </c>
      <c r="K16" s="22" t="s">
        <v>446</v>
      </c>
      <c r="L16" s="238" t="s">
        <v>259</v>
      </c>
      <c r="M16" s="417">
        <f>N5-78</f>
        <v>767</v>
      </c>
      <c r="N16" s="432">
        <f>E10*2</f>
        <v>6</v>
      </c>
      <c r="O16" s="475"/>
      <c r="P16" s="540"/>
      <c r="Q16" s="50"/>
      <c r="R16" s="50"/>
      <c r="S16" s="549"/>
      <c r="T16" s="255"/>
      <c r="U16" s="436" t="str">
        <f t="shared" si="0"/>
        <v>рамка верхняя Б</v>
      </c>
      <c r="V16" s="527"/>
      <c r="W16" s="527"/>
      <c r="X16" s="527"/>
      <c r="Y16" s="527"/>
      <c r="Z16" s="527"/>
      <c r="AA16" s="527"/>
      <c r="AB16" s="527"/>
      <c r="AC16" s="527"/>
      <c r="AD16" s="527"/>
      <c r="AE16" s="527"/>
      <c r="AF16" s="527"/>
      <c r="AG16" s="527"/>
      <c r="AH16" s="557"/>
      <c r="AI16" s="555"/>
      <c r="AJ16" s="442"/>
      <c r="AK16" s="442"/>
      <c r="AL16" s="442"/>
      <c r="AM16" s="442"/>
      <c r="AN16" s="442"/>
      <c r="AO16" s="442"/>
      <c r="AP16" s="442"/>
      <c r="AQ16" s="442"/>
      <c r="AR16" s="442"/>
      <c r="AS16" s="442"/>
      <c r="AT16" s="442"/>
      <c r="AU16" s="442"/>
      <c r="AV16" s="453"/>
      <c r="AW16" s="453"/>
      <c r="AX16" s="453"/>
      <c r="AY16" s="363">
        <v>0.47399999999999998</v>
      </c>
      <c r="AZ16" s="3">
        <f>AY16*M16*N16/1000</f>
        <v>2.1813479999999998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M16" s="185">
        <f>M16*N16-INT($BD$5/M16)*M16*BN16</f>
        <v>0</v>
      </c>
      <c r="BN16" s="141">
        <f>INT(N16/INT($BD$5/M16))</f>
        <v>1</v>
      </c>
      <c r="BP16" s="141"/>
      <c r="BQ16" s="188"/>
      <c r="BT16" s="188"/>
      <c r="BU16" s="189"/>
      <c r="BV16" s="152"/>
      <c r="BW16" s="144"/>
      <c r="BX16" s="4"/>
    </row>
    <row r="17" spans="2:84" ht="25.05" customHeight="1" x14ac:dyDescent="0.3">
      <c r="B17" s="516" t="s">
        <v>475</v>
      </c>
      <c r="C17" s="517"/>
      <c r="D17" s="517"/>
      <c r="E17" s="518">
        <v>0</v>
      </c>
      <c r="F17" s="518"/>
      <c r="G17" s="518"/>
      <c r="H17" s="519"/>
      <c r="J17" s="461" t="str">
        <f>E7</f>
        <v>рамка средняя 4в1</v>
      </c>
      <c r="K17" s="336" t="str">
        <f>E7&amp;" А"</f>
        <v>рамка средняя 4в1 А</v>
      </c>
      <c r="L17" s="238" t="str">
        <f>IF(E7=CG6,CH6,CH7)</f>
        <v>FA0716.VP500</v>
      </c>
      <c r="M17" s="417">
        <f>IF(AND(E7=CG7,E6&gt;0),L5-78,IF(AND(E7=CG6,E6&gt;0),L5-76,0))</f>
        <v>0</v>
      </c>
      <c r="N17" s="432">
        <f>E9*E6</f>
        <v>0</v>
      </c>
      <c r="O17" s="475">
        <f>M17*N17+M18*N18</f>
        <v>0</v>
      </c>
      <c r="P17" s="540">
        <f>IF(E7=CG7,BN17+BN18+IF(BM17+BM18&gt;BD5,2,IF(BM17+BM18=0,0,1)),BQ17+BQ18+IF(BP17+BP18&gt;BD7,2,IF(BP17+BP18=0,0,1)))</f>
        <v>0</v>
      </c>
      <c r="Q17" s="249"/>
      <c r="R17" s="249"/>
      <c r="S17" s="549">
        <f>P17*BW17</f>
        <v>0</v>
      </c>
      <c r="U17" s="436" t="str">
        <f t="shared" si="0"/>
        <v>рамка средняя 4в1 А</v>
      </c>
      <c r="V17" s="527">
        <f t="shared" ref="V17:AG17" si="18">IF($Z$3=$CF$21,BA17,IF($Z$3=$CF$27,BA50,IF($Z$3=$CF$28,BA67,BA34)))</f>
        <v>0</v>
      </c>
      <c r="W17" s="527">
        <f t="shared" si="18"/>
        <v>0</v>
      </c>
      <c r="X17" s="527">
        <f t="shared" si="18"/>
        <v>0</v>
      </c>
      <c r="Y17" s="527">
        <f t="shared" si="18"/>
        <v>0</v>
      </c>
      <c r="Z17" s="527">
        <f t="shared" si="18"/>
        <v>0</v>
      </c>
      <c r="AA17" s="527">
        <f t="shared" si="18"/>
        <v>0</v>
      </c>
      <c r="AB17" s="527">
        <f t="shared" si="18"/>
        <v>0</v>
      </c>
      <c r="AC17" s="527">
        <f t="shared" si="18"/>
        <v>0</v>
      </c>
      <c r="AD17" s="527">
        <f t="shared" si="18"/>
        <v>0</v>
      </c>
      <c r="AE17" s="527">
        <f t="shared" si="18"/>
        <v>0</v>
      </c>
      <c r="AF17" s="527">
        <f t="shared" si="18"/>
        <v>0</v>
      </c>
      <c r="AG17" s="527">
        <f t="shared" si="18"/>
        <v>0</v>
      </c>
      <c r="AH17" s="557">
        <f>AV17</f>
        <v>0</v>
      </c>
      <c r="AI17" s="555">
        <f>IF(E7=CG6,AX18,AW18)</f>
        <v>0</v>
      </c>
      <c r="AJ17" s="442">
        <f t="shared" si="3"/>
        <v>0</v>
      </c>
      <c r="AK17" s="442">
        <f t="shared" si="4"/>
        <v>0</v>
      </c>
      <c r="AL17" s="442">
        <f t="shared" si="5"/>
        <v>0</v>
      </c>
      <c r="AM17" s="442">
        <f t="shared" si="6"/>
        <v>0</v>
      </c>
      <c r="AN17" s="442">
        <f t="shared" si="7"/>
        <v>0</v>
      </c>
      <c r="AO17" s="442">
        <f t="shared" si="8"/>
        <v>0</v>
      </c>
      <c r="AP17" s="442">
        <f t="shared" si="9"/>
        <v>0</v>
      </c>
      <c r="AQ17" s="442">
        <f t="shared" si="10"/>
        <v>0</v>
      </c>
      <c r="AR17" s="442">
        <f t="shared" si="11"/>
        <v>0</v>
      </c>
      <c r="AS17" s="442">
        <f t="shared" si="12"/>
        <v>0</v>
      </c>
      <c r="AT17" s="442">
        <f t="shared" si="13"/>
        <v>0</v>
      </c>
      <c r="AU17" s="442">
        <f t="shared" si="14"/>
        <v>0</v>
      </c>
      <c r="AV17" s="453">
        <f>SUM(AJ17:AU17)</f>
        <v>0</v>
      </c>
      <c r="AW17" s="188" t="s">
        <v>266</v>
      </c>
      <c r="AX17" s="189" t="s">
        <v>267</v>
      </c>
      <c r="AY17" s="363">
        <v>0.58499999999999996</v>
      </c>
      <c r="AZ17" s="3">
        <f>AY17*M17*N17/1000</f>
        <v>0</v>
      </c>
      <c r="BA17" s="190">
        <f>IF(E7=CG7,IF(AND((BM17+BM18)&gt;0,(BM17+BM18)&lt;=1000),1,0),0)</f>
        <v>0</v>
      </c>
      <c r="BB17" s="143">
        <v>0</v>
      </c>
      <c r="BC17" s="191">
        <f>IF(E7=CG6,IF(AND((BP17+BP18)&gt;0,(BP17+BP18)&lt;=1800),1,0),0)</f>
        <v>0</v>
      </c>
      <c r="BD17" s="190">
        <f>IF(E7=CG7,IF(AND((BM17+BM18)&gt;1000,(BM17+BM18)&lt;=2000),1,0),0)</f>
        <v>0</v>
      </c>
      <c r="BE17" s="143">
        <v>0</v>
      </c>
      <c r="BF17" s="191">
        <f>IF(E7=CG6,IF(AND((BP17+BP18)&gt;1800,(BP17+BP18)&lt;=2700),1,0),0)</f>
        <v>0</v>
      </c>
      <c r="BG17" s="190">
        <f>IF(E7=CG7,IF(AND(BM19&gt;2000,BM19&lt;=3000),1,0),0)</f>
        <v>0</v>
      </c>
      <c r="BH17" s="191">
        <f>IF(E7=CG6,IF(AND(BP19&gt;2700,BP19&lt;=3600),1,0),0)</f>
        <v>0</v>
      </c>
      <c r="BI17" s="143">
        <v>0</v>
      </c>
      <c r="BJ17" s="190">
        <f>IF(E7=CG7,IF(AND(BM19&gt;3000,BM19&lt;=4000),1,0),0)</f>
        <v>0</v>
      </c>
      <c r="BK17" s="190">
        <f>IF(E7=CG7,IF(AND(BM19&gt;4000,BM19&lt;=4950),BN17+BN18+1,BN17+BN18),0)</f>
        <v>0</v>
      </c>
      <c r="BL17" s="191">
        <f>IF(E7=CG6,IF(AND(BP19&gt;3600,BP19&lt;=5350),BQ17+BQ18+1,BQ17+BQ18),0)</f>
        <v>0</v>
      </c>
      <c r="BM17" s="185">
        <f>IF($E$6&lt;&gt;0,M17*N17-INT($BD$5/M17)*M17*BN17,0)</f>
        <v>0</v>
      </c>
      <c r="BN17" s="141">
        <f>IF(AND($E$7=$CG$7,$E$6&lt;&gt;0),INT(N17/INT($BD$5/M17)),0)</f>
        <v>0</v>
      </c>
      <c r="BO17" s="141"/>
      <c r="BP17" s="141">
        <f>IF($E$6&lt;&gt;0,M17*N17-INT($BD$7/M17)*M17*BQ17,0)</f>
        <v>0</v>
      </c>
      <c r="BQ17" s="188">
        <f>IF(AND($E$7=$CG$6,$E$6&lt;&gt;0),INT(N17/INT($BD$7/M17)),0)</f>
        <v>0</v>
      </c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3539.74</v>
      </c>
      <c r="BY17" s="1" t="s">
        <v>178</v>
      </c>
    </row>
    <row r="18" spans="2:84" ht="25.05" customHeight="1" thickBot="1" x14ac:dyDescent="0.35">
      <c r="B18" s="514" t="s">
        <v>164</v>
      </c>
      <c r="C18" s="515"/>
      <c r="D18" s="515"/>
      <c r="E18" s="500" t="s">
        <v>99</v>
      </c>
      <c r="F18" s="500"/>
      <c r="G18" s="500"/>
      <c r="H18" s="501"/>
      <c r="J18" s="461" t="str">
        <f>E7</f>
        <v>рамка средняя 4в1</v>
      </c>
      <c r="K18" s="336" t="str">
        <f>E7&amp;" Б"</f>
        <v>рамка средняя 4в1 Б</v>
      </c>
      <c r="L18" s="419" t="str">
        <f>IF(E7=CG6,CH6,CH7)</f>
        <v>FA0716.VP500</v>
      </c>
      <c r="M18" s="417">
        <f>IF(AND(E7=CG7,E6&gt;0),N5-78,IF(AND(E7=CG6,E6&gt;0),N5-76,0))</f>
        <v>0</v>
      </c>
      <c r="N18" s="432">
        <f>E10*E6</f>
        <v>0</v>
      </c>
      <c r="O18" s="475"/>
      <c r="P18" s="540"/>
      <c r="Q18" s="50"/>
      <c r="R18" s="50"/>
      <c r="S18" s="549"/>
      <c r="T18" s="255"/>
      <c r="U18" s="436" t="str">
        <f t="shared" si="0"/>
        <v>рамка средняя 4в1 Б</v>
      </c>
      <c r="V18" s="527"/>
      <c r="W18" s="527"/>
      <c r="X18" s="527"/>
      <c r="Y18" s="527"/>
      <c r="Z18" s="527"/>
      <c r="AA18" s="527"/>
      <c r="AB18" s="527"/>
      <c r="AC18" s="527"/>
      <c r="AD18" s="527"/>
      <c r="AE18" s="527"/>
      <c r="AF18" s="527"/>
      <c r="AG18" s="527"/>
      <c r="AH18" s="557"/>
      <c r="AI18" s="556"/>
      <c r="AJ18" s="453"/>
      <c r="AK18" s="453"/>
      <c r="AL18" s="453"/>
      <c r="AM18" s="453"/>
      <c r="AN18" s="453"/>
      <c r="AO18" s="453"/>
      <c r="AP18" s="453"/>
      <c r="AQ18" s="453"/>
      <c r="AR18" s="453"/>
      <c r="AS18" s="453"/>
      <c r="AT18" s="453"/>
      <c r="AU18" s="453"/>
      <c r="AV18" s="453"/>
      <c r="AW18" s="256">
        <f>(V17*0.2+W17*0.25+Y17*0.4+Z17*0.5+AB17*0.6+AD17*0.75+AE17*0.8+AF17)*BW17</f>
        <v>0</v>
      </c>
      <c r="AX18" s="256">
        <f>(X17*0.34+AA17*0.5+AC17*0.67+AG17)*BW17</f>
        <v>0</v>
      </c>
      <c r="AY18" s="363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85">
        <f>IF($E$6&lt;&gt;0,M18*N18-INT($BD$5/M18)*M18*BN18,0)</f>
        <v>0</v>
      </c>
      <c r="BN18" s="141">
        <f>IF(AND($E$7=$CG$7,$E$6&lt;&gt;0),INT(N18/INT($BD$5/M18)),0)</f>
        <v>0</v>
      </c>
      <c r="BO18" s="4"/>
      <c r="BP18" s="141">
        <f>IF($E$6&lt;&gt;0,M18*N18-INT($BD$7/M18)*M18*BQ18,0)</f>
        <v>0</v>
      </c>
      <c r="BQ18" s="188">
        <f>IF(AND($E$7=$CG$6,$E$6&lt;&gt;0),INT(N18/INT($BD$7/M18)),0)</f>
        <v>0</v>
      </c>
      <c r="BR18" s="4"/>
      <c r="BS18" s="4"/>
      <c r="BT18" s="4"/>
      <c r="BU18" s="4"/>
      <c r="BV18" s="4"/>
      <c r="BW18" s="144"/>
      <c r="BY18" s="1" t="s">
        <v>175</v>
      </c>
    </row>
    <row r="19" spans="2:84" ht="25.05" customHeight="1" thickBot="1" x14ac:dyDescent="0.4">
      <c r="B19" s="1" t="s">
        <v>463</v>
      </c>
      <c r="K19" s="12"/>
      <c r="L19" s="6"/>
      <c r="M19" s="327"/>
      <c r="N19" s="327"/>
      <c r="O19" s="6"/>
      <c r="P19" s="13"/>
      <c r="S19" s="136">
        <f>SUM(S9:S18)</f>
        <v>74779.210000000006</v>
      </c>
      <c r="U19" s="321"/>
      <c r="V19" s="559" t="s">
        <v>103</v>
      </c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60"/>
      <c r="AI19" s="136">
        <f>SUM(AI9:AI18)</f>
        <v>74779.210000000006</v>
      </c>
      <c r="AJ19" s="454"/>
      <c r="AK19" s="454"/>
      <c r="AL19" s="454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364">
        <v>0.33600000000000002</v>
      </c>
      <c r="AZ19" s="3">
        <f>AY19*M17*N17/1000</f>
        <v>0</v>
      </c>
      <c r="BA19" s="438"/>
      <c r="BB19" s="54" t="s">
        <v>522</v>
      </c>
      <c r="BM19" s="185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58"/>
      <c r="C20" s="59"/>
      <c r="D20" s="59"/>
      <c r="E20" s="59"/>
      <c r="F20" s="59"/>
      <c r="G20" s="59"/>
      <c r="H20" s="356" t="s">
        <v>454</v>
      </c>
      <c r="K20" s="12"/>
      <c r="L20" s="6"/>
      <c r="M20" s="327"/>
      <c r="N20" s="327"/>
      <c r="O20" s="6"/>
      <c r="P20" s="13"/>
      <c r="T20" s="256"/>
      <c r="U20" s="5"/>
      <c r="V20" s="6"/>
      <c r="W20" s="6"/>
      <c r="X20" s="6"/>
      <c r="Y20" s="6"/>
      <c r="Z20" s="6"/>
      <c r="AA20" s="6"/>
      <c r="AB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365">
        <v>0.33600000000000002</v>
      </c>
      <c r="AZ20" s="3">
        <f>AY20*M18*N18/1000</f>
        <v>0</v>
      </c>
      <c r="BA20" s="439"/>
      <c r="BB20" s="3" t="s">
        <v>523</v>
      </c>
      <c r="BM20" s="544" t="s">
        <v>526</v>
      </c>
      <c r="BN20" s="544"/>
      <c r="BP20" s="543" t="s">
        <v>450</v>
      </c>
      <c r="BQ20" s="543"/>
      <c r="BY20" s="1" t="s">
        <v>85</v>
      </c>
    </row>
    <row r="21" spans="2:84" ht="25.05" customHeight="1" thickBot="1" x14ac:dyDescent="0.35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264"/>
      <c r="L21" s="265"/>
      <c r="M21" s="341"/>
      <c r="N21" s="341"/>
      <c r="O21" s="265"/>
      <c r="P21" s="266"/>
      <c r="Q21" s="245"/>
      <c r="R21" s="267"/>
      <c r="T21" s="5"/>
      <c r="AC21" s="545" t="s">
        <v>102</v>
      </c>
      <c r="AD21" s="545"/>
      <c r="AE21" s="545"/>
      <c r="AF21" s="545"/>
      <c r="AG21" s="545"/>
      <c r="AH21" s="545"/>
      <c r="AI21" s="263">
        <f>AI19+S46+H30</f>
        <v>96606.86</v>
      </c>
      <c r="AY21" s="350" t="s">
        <v>451</v>
      </c>
      <c r="AZ21" s="351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425</v>
      </c>
    </row>
    <row r="22" spans="2:84" ht="25.05" customHeight="1" thickBot="1" x14ac:dyDescent="0.35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Q22" s="5"/>
      <c r="R22" s="5"/>
      <c r="S22" s="6"/>
      <c r="T22" s="5"/>
      <c r="AY22" s="275" t="s">
        <v>452</v>
      </c>
      <c r="AZ22" s="138">
        <f>IF(E7=CG6,AZ10/2+(AZ9/P9*E10+AZ16+AZ20)/E10,AZ10/2+(AZ9/P9*E10+AZ16+AZ18)/E10)</f>
        <v>5.1695760000000002</v>
      </c>
      <c r="CF22" s="1" t="s">
        <v>430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429" t="s">
        <v>181</v>
      </c>
      <c r="L23" s="416"/>
      <c r="M23" s="280"/>
      <c r="N23" s="327"/>
      <c r="O23" s="6"/>
      <c r="P23" s="13"/>
      <c r="Q23" s="5"/>
      <c r="R23" s="5"/>
      <c r="S23" s="6"/>
      <c r="U23" s="5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BA23" s="3"/>
      <c r="BB23" s="3"/>
      <c r="BC23" s="3"/>
      <c r="BD23" s="3"/>
      <c r="BE23" s="3"/>
      <c r="BF23" s="241" t="s">
        <v>431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427</v>
      </c>
    </row>
    <row r="24" spans="2:84" ht="25.05" customHeight="1" x14ac:dyDescent="0.3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561" t="s">
        <v>0</v>
      </c>
      <c r="L24" s="562"/>
      <c r="M24" s="562"/>
      <c r="N24" s="563"/>
      <c r="O24" s="427" t="s">
        <v>1</v>
      </c>
      <c r="P24" s="239" t="s">
        <v>8</v>
      </c>
      <c r="Q24" s="140"/>
      <c r="R24" s="140"/>
      <c r="S24" s="261" t="s">
        <v>24</v>
      </c>
      <c r="U24" s="5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301">
        <f>IF(E25&lt;&gt;0,1,0)</f>
        <v>1</v>
      </c>
      <c r="CF24" s="1" t="s">
        <v>428</v>
      </c>
    </row>
    <row r="25" spans="2:84" ht="25.05" customHeight="1" x14ac:dyDescent="0.3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478" t="s">
        <v>160</v>
      </c>
      <c r="L25" s="479"/>
      <c r="M25" s="479"/>
      <c r="N25" s="564"/>
      <c r="O25" s="206" t="s">
        <v>221</v>
      </c>
      <c r="P25" s="230">
        <f>E9+E10</f>
        <v>6</v>
      </c>
      <c r="Q25" s="248"/>
      <c r="R25" s="248"/>
      <c r="S25" s="262">
        <f>P25*Цены!J149</f>
        <v>17330.699999999997</v>
      </c>
      <c r="U25" s="140"/>
      <c r="V25" s="444"/>
      <c r="W25" s="444"/>
      <c r="X25" s="444"/>
      <c r="Y25" s="444"/>
      <c r="Z25" s="444"/>
      <c r="AA25" s="444"/>
      <c r="AB25" s="444"/>
      <c r="AC25" s="444"/>
      <c r="AD25" s="444"/>
      <c r="AE25" s="444"/>
      <c r="AF25" s="444"/>
      <c r="AG25" s="444"/>
      <c r="AH25" s="445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BA25" s="96">
        <v>1000</v>
      </c>
      <c r="BB25" s="96">
        <v>1250</v>
      </c>
      <c r="BC25" s="96">
        <v>1800</v>
      </c>
      <c r="BD25" s="96">
        <v>2000</v>
      </c>
      <c r="BE25" s="96">
        <v>2500</v>
      </c>
      <c r="BF25" s="96">
        <v>2700</v>
      </c>
      <c r="BG25" s="96">
        <v>3000</v>
      </c>
      <c r="BH25" s="96">
        <v>3600</v>
      </c>
      <c r="BI25" s="96">
        <v>3750</v>
      </c>
      <c r="BJ25" s="96">
        <v>4000</v>
      </c>
      <c r="BK25" s="96">
        <v>5000</v>
      </c>
      <c r="BL25" s="142">
        <v>5400</v>
      </c>
      <c r="BM25" s="187"/>
      <c r="BN25" s="186"/>
      <c r="BO25" s="186"/>
      <c r="BP25" s="186"/>
      <c r="BQ25" s="186"/>
      <c r="BR25" s="186"/>
      <c r="BS25" s="186"/>
      <c r="CE25" s="301">
        <f>IF(E26&lt;&gt;0,1,0)</f>
        <v>0</v>
      </c>
      <c r="CF25" s="1" t="s">
        <v>429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9">E26*F26*D26*G26/1000000</f>
        <v>0</v>
      </c>
      <c r="K26" s="483" t="s">
        <v>67</v>
      </c>
      <c r="L26" s="484"/>
      <c r="M26" s="484"/>
      <c r="N26" s="484"/>
      <c r="O26" s="206" t="s">
        <v>222</v>
      </c>
      <c r="P26" s="230">
        <f>IF(OR(E9=1,E10=1),5,6)</f>
        <v>6</v>
      </c>
      <c r="Q26" s="248"/>
      <c r="R26" s="248"/>
      <c r="S26" s="262">
        <f>P26*Цены!J151</f>
        <v>996.83999999999992</v>
      </c>
      <c r="U26" s="309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Z26" s="3"/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315">
        <f>BL9</f>
        <v>6</v>
      </c>
      <c r="BM26" s="141"/>
      <c r="BN26" s="188"/>
      <c r="BO26" s="188"/>
      <c r="BP26" s="188"/>
      <c r="BQ26" s="188"/>
      <c r="BR26" s="188"/>
      <c r="BS26" s="188"/>
      <c r="CE26" s="301">
        <f>IF(E27&lt;&gt;0,1,0)</f>
        <v>0</v>
      </c>
      <c r="CF26" s="1" t="s">
        <v>426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9"/>
        <v>0</v>
      </c>
      <c r="K27" s="529" t="s">
        <v>73</v>
      </c>
      <c r="L27" s="530"/>
      <c r="M27" s="530"/>
      <c r="N27" s="530"/>
      <c r="O27" s="207" t="s">
        <v>223</v>
      </c>
      <c r="P27" s="230">
        <f>IF(AND(P33&gt;0,OR(E11=BY23,E12=BY23)),0,IF(E12=BY23,1,2))</f>
        <v>2</v>
      </c>
      <c r="Q27" s="248"/>
      <c r="R27" s="248"/>
      <c r="S27" s="262">
        <f>P27*Цены!J157</f>
        <v>1039.8</v>
      </c>
      <c r="U27" s="309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47"/>
      <c r="AH27" s="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315">
        <f>BL10</f>
        <v>1</v>
      </c>
      <c r="BY27" s="65" t="s">
        <v>10</v>
      </c>
      <c r="CE27" s="301">
        <f>IF(E28&lt;&gt;0,1,0)</f>
        <v>0</v>
      </c>
      <c r="CF27" s="1" t="s">
        <v>527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9"/>
        <v>0</v>
      </c>
      <c r="K28" s="535" t="s">
        <v>74</v>
      </c>
      <c r="L28" s="536"/>
      <c r="M28" s="536"/>
      <c r="N28" s="536"/>
      <c r="O28" s="140" t="s">
        <v>233</v>
      </c>
      <c r="P28" s="422">
        <f>P33+2</f>
        <v>2</v>
      </c>
      <c r="Q28" s="249"/>
      <c r="R28" s="249"/>
      <c r="S28" s="262">
        <f>P28*Цены!J158</f>
        <v>234.74</v>
      </c>
      <c r="T28" s="243"/>
      <c r="U28" s="309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9"/>
      <c r="AI28" s="100"/>
      <c r="AJ28" s="442"/>
      <c r="AK28" s="442"/>
      <c r="AL28" s="442"/>
      <c r="AM28" s="442"/>
      <c r="AN28" s="442"/>
      <c r="AO28" s="442"/>
      <c r="AP28" s="442"/>
      <c r="AQ28" s="442"/>
      <c r="AR28" s="442"/>
      <c r="AS28" s="442"/>
      <c r="AT28" s="442"/>
      <c r="AU28" s="442"/>
      <c r="AV28" s="442"/>
      <c r="AW28" s="442"/>
      <c r="AX28" s="442"/>
      <c r="BA28" s="143">
        <v>0</v>
      </c>
      <c r="BB28" s="143">
        <v>0</v>
      </c>
      <c r="BC28" s="143">
        <v>0</v>
      </c>
      <c r="BD28" s="143">
        <v>0</v>
      </c>
      <c r="BE28" s="141">
        <f>IF(AND((E21+E22)&gt;BD5,BP28=1),1,0)</f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1">
        <f>IF(E4+E5&lt;=4950,BR28,IF(AND(BM28&gt;2500,BM28&lt;=4950),BN28+1,BN28)+IF(AND(BM29&gt;2500,BM29&lt;=4950),BN29+1,BN29)+IF(BP28=2,1,0))</f>
        <v>6</v>
      </c>
      <c r="BL28" s="143">
        <v>0</v>
      </c>
      <c r="BM28" s="185">
        <f t="shared" ref="BM28:BN33" si="20">BM11</f>
        <v>0</v>
      </c>
      <c r="BN28" s="185">
        <f t="shared" si="20"/>
        <v>3</v>
      </c>
      <c r="BO28" s="185"/>
      <c r="BP28" s="185">
        <f>BP11</f>
        <v>0</v>
      </c>
      <c r="BQ28" s="185"/>
      <c r="BR28" s="185">
        <f>BR11</f>
        <v>4</v>
      </c>
      <c r="BS28" s="141"/>
      <c r="BY28" s="65" t="s">
        <v>11</v>
      </c>
      <c r="CE28" s="301">
        <f>IF(E29&lt;&gt;0,1,0)</f>
        <v>0</v>
      </c>
      <c r="CF28" s="1" t="s">
        <v>525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9"/>
        <v>0</v>
      </c>
      <c r="K29" s="483" t="s">
        <v>22</v>
      </c>
      <c r="L29" s="484"/>
      <c r="M29" s="484"/>
      <c r="N29" s="484"/>
      <c r="O29" s="206" t="s">
        <v>225</v>
      </c>
      <c r="P29" s="231">
        <f>IF(AND(E9&gt;1,E10&gt;1,E12=BY23),2,0)</f>
        <v>0</v>
      </c>
      <c r="Q29" s="250"/>
      <c r="R29" s="250"/>
      <c r="S29" s="262">
        <f>P29*Цены!J128</f>
        <v>0</v>
      </c>
      <c r="T29" s="243"/>
      <c r="U29" s="309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9"/>
      <c r="AI29" s="100"/>
      <c r="AJ29" s="442"/>
      <c r="AK29" s="442"/>
      <c r="AL29" s="442"/>
      <c r="AM29" s="442"/>
      <c r="AN29" s="442"/>
      <c r="AO29" s="442"/>
      <c r="AP29" s="442"/>
      <c r="AQ29" s="442"/>
      <c r="AR29" s="442"/>
      <c r="AS29" s="442"/>
      <c r="AT29" s="442"/>
      <c r="AU29" s="442"/>
      <c r="AV29" s="442"/>
      <c r="AW29" s="442"/>
      <c r="AX29" s="442"/>
      <c r="BM29" s="185">
        <f t="shared" si="20"/>
        <v>0</v>
      </c>
      <c r="BN29" s="185">
        <f t="shared" si="20"/>
        <v>3</v>
      </c>
      <c r="BO29" s="185"/>
      <c r="BP29" s="185"/>
      <c r="BQ29" s="185"/>
      <c r="BR29" s="185"/>
      <c r="BY29" s="65" t="s">
        <v>12</v>
      </c>
    </row>
    <row r="30" spans="2:84" ht="25.05" customHeight="1" thickBot="1" x14ac:dyDescent="0.35">
      <c r="B30" s="66"/>
      <c r="C30" s="67"/>
      <c r="D30" s="67"/>
      <c r="E30" s="520" t="s">
        <v>79</v>
      </c>
      <c r="F30" s="521"/>
      <c r="G30" s="522"/>
      <c r="H30" s="81">
        <f>SUM(H25:H29)</f>
        <v>0</v>
      </c>
      <c r="K30" s="523" t="s">
        <v>252</v>
      </c>
      <c r="L30" s="524"/>
      <c r="M30" s="524"/>
      <c r="N30" s="524"/>
      <c r="O30" s="206" t="s">
        <v>250</v>
      </c>
      <c r="P30" s="231">
        <f>IF(AND(E9&gt;2,E11=BY23),E9-2,0)+IF(AND(E10&gt;2,E11=BY23),E10-2,0)</f>
        <v>0</v>
      </c>
      <c r="Q30" s="250"/>
      <c r="R30" s="250"/>
      <c r="S30" s="262">
        <f>P30*Цены!J129</f>
        <v>0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442"/>
      <c r="AY30" s="53"/>
      <c r="AZ30" s="53"/>
      <c r="BA30" s="143">
        <v>0</v>
      </c>
      <c r="BB30" s="143">
        <v>0</v>
      </c>
      <c r="BC30" s="143">
        <v>0</v>
      </c>
      <c r="BD30" s="143">
        <v>0</v>
      </c>
      <c r="BE30" s="141">
        <f t="shared" ref="BE30" si="21">IF(BP30=1,1,0)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IF(E4+E5&lt;=5025,BR30,IF(AND(BM30&gt;2500,BM30&lt;=5025),BN30+1,BN30)+IF(AND(BM31&gt;2500,BM31&lt;=5025),BN31+1,BN31)+IF(BP30=2,1,0))</f>
        <v>2</v>
      </c>
      <c r="BL30" s="143">
        <v>0</v>
      </c>
      <c r="BM30" s="185">
        <f t="shared" si="20"/>
        <v>0</v>
      </c>
      <c r="BN30" s="185">
        <f t="shared" si="20"/>
        <v>1</v>
      </c>
      <c r="BO30" s="185"/>
      <c r="BP30" s="185">
        <f>BP13</f>
        <v>0</v>
      </c>
      <c r="BQ30" s="185"/>
      <c r="BR30" s="185">
        <f>BR13</f>
        <v>2</v>
      </c>
      <c r="BS30" s="188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473" t="s">
        <v>253</v>
      </c>
      <c r="L31" s="474"/>
      <c r="M31" s="474"/>
      <c r="N31" s="474"/>
      <c r="O31" s="206" t="s">
        <v>254</v>
      </c>
      <c r="P31" s="232">
        <f>IF(P30&gt;0,IF(E9&gt;2,1,0)+IF(E10&gt;2,1,0),0)</f>
        <v>0</v>
      </c>
      <c r="Q31" s="251"/>
      <c r="R31" s="251"/>
      <c r="S31" s="262">
        <f>P31*Цены!J130</f>
        <v>0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42"/>
      <c r="AK31" s="442"/>
      <c r="AL31" s="442"/>
      <c r="AM31" s="442"/>
      <c r="AN31" s="442"/>
      <c r="AO31" s="442"/>
      <c r="AP31" s="442"/>
      <c r="AQ31" s="442"/>
      <c r="AR31" s="442"/>
      <c r="AS31" s="442"/>
      <c r="AT31" s="442"/>
      <c r="AU31" s="442"/>
      <c r="AV31" s="442"/>
      <c r="AW31" s="442"/>
      <c r="AX31" s="442"/>
      <c r="AY31" s="53"/>
      <c r="AZ31" s="53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85">
        <f t="shared" si="20"/>
        <v>0</v>
      </c>
      <c r="BN31" s="185">
        <f t="shared" si="20"/>
        <v>1</v>
      </c>
      <c r="BO31" s="185"/>
      <c r="BP31" s="185"/>
      <c r="BQ31" s="185"/>
      <c r="BR31" s="185"/>
      <c r="BS31" s="188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268</v>
      </c>
      <c r="H32" s="148">
        <f>ROUNDUP((AZ21+AZ46)*1.1,0)</f>
        <v>30</v>
      </c>
      <c r="K32" s="523" t="s">
        <v>257</v>
      </c>
      <c r="L32" s="524"/>
      <c r="M32" s="524"/>
      <c r="N32" s="524"/>
      <c r="O32" s="206" t="s">
        <v>258</v>
      </c>
      <c r="P32" s="231">
        <f>IF(E9&gt;E10,E9-2,E10-2)</f>
        <v>1</v>
      </c>
      <c r="Q32" s="250"/>
      <c r="R32" s="250"/>
      <c r="S32" s="262">
        <f>P32*Цены!J117</f>
        <v>184.85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42"/>
      <c r="AK32" s="442"/>
      <c r="AL32" s="442"/>
      <c r="AM32" s="442"/>
      <c r="AN32" s="442"/>
      <c r="AO32" s="442"/>
      <c r="AP32" s="442"/>
      <c r="AQ32" s="442"/>
      <c r="AR32" s="442"/>
      <c r="AS32" s="442"/>
      <c r="AT32" s="442"/>
      <c r="AU32" s="442"/>
      <c r="AV32" s="442"/>
      <c r="AW32" s="442"/>
      <c r="AX32" s="442"/>
      <c r="AY32" s="3"/>
      <c r="AZ32" s="3"/>
      <c r="BA32" s="143">
        <v>0</v>
      </c>
      <c r="BB32" s="141">
        <f>IF(AND((BM32+BM33)&gt;0,(BM32+BM33)&lt;=1250),1,0)</f>
        <v>0</v>
      </c>
      <c r="BC32" s="143">
        <v>0</v>
      </c>
      <c r="BD32" s="143">
        <v>0</v>
      </c>
      <c r="BE32" s="141">
        <f>IF(AND((BM32+BM33)&gt;1250,(BM32+BM33)&lt;=2500),1,0)</f>
        <v>0</v>
      </c>
      <c r="BF32" s="143">
        <v>0</v>
      </c>
      <c r="BG32" s="143">
        <v>0</v>
      </c>
      <c r="BH32" s="143">
        <v>0</v>
      </c>
      <c r="BI32" s="141">
        <f>IF(AND(BM32&gt;2500,BM32&lt;=3750),1,0)+IF(AND(BM33&gt;2500,BM33&lt;=3750),1,0)+IF(AND((BM32+BM33)&gt;2500,(BM32+BM33)&lt;=3750),1,0)</f>
        <v>0</v>
      </c>
      <c r="BJ32" s="143">
        <v>0</v>
      </c>
      <c r="BK32" s="141">
        <f>IF(BP32=1,0,IF(AND(BM32&gt;3750,BM32&lt;=4950),1,0)+IF(AND(BM33&gt;3750,BM33&lt;=4950),1,0))+BP32+BN32+BN33</f>
        <v>2</v>
      </c>
      <c r="BL32" s="143">
        <v>0</v>
      </c>
      <c r="BM32" s="185">
        <f t="shared" si="20"/>
        <v>0</v>
      </c>
      <c r="BN32" s="185">
        <f t="shared" si="20"/>
        <v>1</v>
      </c>
      <c r="BO32" s="185"/>
      <c r="BP32" s="185">
        <f>IF(AND((BM32+BM33)&gt;3750,(BM32+BM33)&lt;=5000),1,0)</f>
        <v>0</v>
      </c>
      <c r="BQ32" s="185"/>
      <c r="BR32" s="185"/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535" t="s">
        <v>42</v>
      </c>
      <c r="L33" s="536"/>
      <c r="M33" s="536"/>
      <c r="N33" s="536"/>
      <c r="O33" s="207" t="s">
        <v>227</v>
      </c>
      <c r="P33" s="231">
        <f>IF(E15=BY23,IF(L5&gt;=900,2,IF(AND(L5&gt;650,L5&lt;900),1,0))*(E9-1)+IF(N5&gt;=900,2,IF(AND(N5&gt;650,N5&lt;900),1,0))*(E10-1),0)</f>
        <v>0</v>
      </c>
      <c r="Q33" s="250"/>
      <c r="R33" s="250"/>
      <c r="S33" s="262">
        <f>P33*Цены!J103</f>
        <v>0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42"/>
      <c r="AK33" s="442"/>
      <c r="AL33" s="442"/>
      <c r="AM33" s="442"/>
      <c r="AN33" s="442"/>
      <c r="AO33" s="442"/>
      <c r="AP33" s="442"/>
      <c r="AQ33" s="442"/>
      <c r="AR33" s="442"/>
      <c r="AS33" s="442"/>
      <c r="AT33" s="442"/>
      <c r="AU33" s="442"/>
      <c r="AV33" s="442"/>
      <c r="AW33" s="442"/>
      <c r="AX33" s="442"/>
      <c r="AY33" s="144"/>
      <c r="BM33" s="185">
        <f t="shared" si="20"/>
        <v>0</v>
      </c>
      <c r="BN33" s="185">
        <f t="shared" si="20"/>
        <v>1</v>
      </c>
      <c r="BO33" s="185"/>
      <c r="BP33" s="185"/>
      <c r="BQ33" s="185"/>
      <c r="BR33" s="185"/>
      <c r="BS33" s="185"/>
      <c r="BT33" s="188"/>
      <c r="BU33" s="189"/>
      <c r="BV33" s="152"/>
      <c r="BW33" s="152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523" t="s">
        <v>125</v>
      </c>
      <c r="L34" s="524"/>
      <c r="M34" s="524"/>
      <c r="N34" s="524"/>
      <c r="O34" s="206" t="s">
        <v>226</v>
      </c>
      <c r="P34" s="231">
        <f>IF(AND(E14=BY23,OR(E9=1,E10=1)),1,IF(AND(E14=BY23,AND(E9&gt;1,E10&gt;1)),2,0))</f>
        <v>0</v>
      </c>
      <c r="Q34" s="250"/>
      <c r="R34" s="250"/>
      <c r="S34" s="262">
        <f>P34*Цены!J152</f>
        <v>0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42"/>
      <c r="AK34" s="442"/>
      <c r="AL34" s="442"/>
      <c r="AM34" s="442"/>
      <c r="AN34" s="442"/>
      <c r="AO34" s="442"/>
      <c r="AP34" s="442"/>
      <c r="AQ34" s="442"/>
      <c r="AR34" s="442"/>
      <c r="AS34" s="442"/>
      <c r="AT34" s="442"/>
      <c r="AU34" s="442"/>
      <c r="AV34" s="442"/>
      <c r="AW34" s="442"/>
      <c r="AX34" s="442"/>
      <c r="AY34" s="3"/>
      <c r="BA34" s="143">
        <v>0</v>
      </c>
      <c r="BB34" s="190">
        <f>IF(E7=CG7,IF(AND((BM17+BM18)&gt;0,(BM17+BM18)&lt;=1250),1,0),0)</f>
        <v>0</v>
      </c>
      <c r="BC34" s="191">
        <f>IF(E7=CG6,IF(AND((BP34+BP35)&gt;0,(BP34+BP35)&lt;=1800),1,0),0)</f>
        <v>0</v>
      </c>
      <c r="BD34" s="143">
        <v>0</v>
      </c>
      <c r="BE34" s="190">
        <f>IF(E7=CG7,IF(AND((BM17+BM18)&gt;1250,(BM17+BM18)&lt;=2500),1,0),0)</f>
        <v>0</v>
      </c>
      <c r="BF34" s="191">
        <f>IF(E7=CG6,IF(AND((BP34+BP35)&gt;1800,(BP34+BP35)&lt;=2700),1,0),0)</f>
        <v>0</v>
      </c>
      <c r="BG34" s="143">
        <v>0</v>
      </c>
      <c r="BH34" s="191">
        <f>IF(E7=CG6,IF(AND(BP36&gt;2700,BP36&lt;=3600),1,0),0)</f>
        <v>0</v>
      </c>
      <c r="BI34" s="190">
        <f>IF(E7=CG7,IF(AND(BM36&gt;2500,BM36&lt;=3750),1,0),0)</f>
        <v>0</v>
      </c>
      <c r="BJ34" s="143">
        <v>0</v>
      </c>
      <c r="BK34" s="190">
        <f>IF(E7=CG7,IF(AND(BM19&gt;4000,BM19&lt;=4950),BN17+BN18+1,BN17+BN18),0)</f>
        <v>0</v>
      </c>
      <c r="BL34" s="191">
        <f>IF(E7=CG6,IF(AND(BP19&gt;3600,BP19&lt;=5350),BQ17+BQ18+1,BQ17+BQ18),0)</f>
        <v>0</v>
      </c>
      <c r="BM34" s="185">
        <f>BM17</f>
        <v>0</v>
      </c>
      <c r="BN34" s="185">
        <f>BN17</f>
        <v>0</v>
      </c>
      <c r="BO34" s="185"/>
      <c r="BP34" s="185">
        <f>BP17</f>
        <v>0</v>
      </c>
      <c r="BQ34" s="185">
        <f>BQ17</f>
        <v>0</v>
      </c>
      <c r="BR34" s="185"/>
      <c r="BS34" s="185"/>
      <c r="BT34" s="6"/>
      <c r="BU34" s="6"/>
      <c r="BV34" s="6"/>
      <c r="BW34" s="6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452</v>
      </c>
      <c r="K35" s="523" t="s">
        <v>228</v>
      </c>
      <c r="L35" s="524"/>
      <c r="M35" s="524"/>
      <c r="N35" s="524"/>
      <c r="O35" s="206" t="s">
        <v>195</v>
      </c>
      <c r="P35" s="231">
        <f>SUM(N15:N18)*2</f>
        <v>24</v>
      </c>
      <c r="Q35" s="250"/>
      <c r="R35" s="250"/>
      <c r="S35" s="262">
        <f>P35*Цены!J184</f>
        <v>218.88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3"/>
      <c r="BM35" s="185">
        <f>BM18</f>
        <v>0</v>
      </c>
      <c r="BN35" s="185">
        <f>BN18</f>
        <v>0</v>
      </c>
      <c r="BO35" s="185"/>
      <c r="BP35" s="185">
        <f>BP18</f>
        <v>0</v>
      </c>
      <c r="BQ35" s="185">
        <f>BQ18</f>
        <v>0</v>
      </c>
      <c r="BR35" s="185"/>
      <c r="BT35" s="144"/>
      <c r="BU35" s="144"/>
      <c r="BV35" s="144"/>
      <c r="BW35" s="144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523" t="s">
        <v>82</v>
      </c>
      <c r="L36" s="524"/>
      <c r="M36" s="524"/>
      <c r="N36" s="524"/>
      <c r="O36" s="206" t="s">
        <v>261</v>
      </c>
      <c r="P36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252"/>
      <c r="R36" s="252"/>
      <c r="S36" s="262">
        <f>P36*Цены!J177</f>
        <v>0</v>
      </c>
      <c r="T36" s="243"/>
      <c r="U36" s="243"/>
      <c r="V36" s="4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447"/>
      <c r="AI36" s="256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BM36" s="185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523" t="s">
        <v>84</v>
      </c>
      <c r="L37" s="524"/>
      <c r="M37" s="524"/>
      <c r="N37" s="524"/>
      <c r="O37" s="206" t="s">
        <v>196</v>
      </c>
      <c r="P37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252"/>
      <c r="R37" s="252"/>
      <c r="S37" s="262">
        <f>P37*Цены!J178</f>
        <v>1556.3999999999999</v>
      </c>
      <c r="T37" s="2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BM37" s="544" t="s">
        <v>526</v>
      </c>
      <c r="BN37" s="544"/>
      <c r="BP37" s="543" t="s">
        <v>450</v>
      </c>
      <c r="BQ37" s="543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523" t="s">
        <v>80</v>
      </c>
      <c r="L38" s="524"/>
      <c r="M38" s="524"/>
      <c r="N38" s="524"/>
      <c r="O38" s="206" t="s">
        <v>197</v>
      </c>
      <c r="P38" s="231">
        <f>IF(E13=BY36,P35,0)</f>
        <v>24</v>
      </c>
      <c r="Q38" s="250"/>
      <c r="R38" s="250"/>
      <c r="S38" s="262">
        <f>P38*Цены!J171</f>
        <v>265.44</v>
      </c>
      <c r="T38" s="243"/>
      <c r="AY38" s="3"/>
      <c r="BT38" s="3"/>
      <c r="BU38" s="3"/>
      <c r="BV38" s="3"/>
      <c r="BW38" s="3"/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523" t="s">
        <v>166</v>
      </c>
      <c r="L39" s="524"/>
      <c r="M39" s="524"/>
      <c r="N39" s="524"/>
      <c r="O39" s="208" t="s">
        <v>198</v>
      </c>
      <c r="P39" s="422">
        <f>IF(E13=BY37,P35,0)</f>
        <v>0</v>
      </c>
      <c r="Q39" s="249"/>
      <c r="R39" s="249"/>
      <c r="S39" s="262">
        <f>P39*Цены!J132</f>
        <v>0</v>
      </c>
      <c r="T39" s="243"/>
      <c r="AY39" s="3"/>
      <c r="BA39" s="3"/>
      <c r="BB39" s="3"/>
      <c r="BC39" s="3"/>
      <c r="BD39" s="3"/>
      <c r="BE39" s="3"/>
      <c r="BF39" s="241" t="s">
        <v>524</v>
      </c>
      <c r="BG39" s="3"/>
      <c r="BH39" s="3"/>
      <c r="BI39" s="3"/>
      <c r="BJ39" s="3"/>
      <c r="BK39" s="3"/>
      <c r="BL39" s="3"/>
      <c r="BM39" s="3"/>
      <c r="BV39" s="144"/>
      <c r="BW39" s="144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473" t="s">
        <v>76</v>
      </c>
      <c r="L40" s="474"/>
      <c r="M40" s="474"/>
      <c r="N40" s="474"/>
      <c r="O40" s="206" t="s">
        <v>199</v>
      </c>
      <c r="P40" s="234">
        <f>IF(E13=BY39,ROUNDUP(M9*N9/1000,0),0)</f>
        <v>0</v>
      </c>
      <c r="Q40" s="253"/>
      <c r="R40" s="253"/>
      <c r="S40" s="262">
        <f>P40*Цены!J161</f>
        <v>0</v>
      </c>
      <c r="T40" s="243"/>
      <c r="AY40" s="3"/>
      <c r="AZ40" s="54" t="s">
        <v>453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144"/>
      <c r="BW40" s="144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473" t="s">
        <v>129</v>
      </c>
      <c r="L41" s="474"/>
      <c r="M41" s="474"/>
      <c r="N41" s="474"/>
      <c r="O41" s="206" t="s">
        <v>200</v>
      </c>
      <c r="P41" s="234">
        <f>IF(E13=BY38,ROUNDUP(M9*N9/1000,0),0)</f>
        <v>0</v>
      </c>
      <c r="Q41" s="253"/>
      <c r="R41" s="253"/>
      <c r="S41" s="262">
        <f>P41*Цены!J180</f>
        <v>0</v>
      </c>
      <c r="T41" s="243"/>
      <c r="AJ41" s="443"/>
      <c r="AK41" s="443"/>
      <c r="AL41" s="443"/>
      <c r="AM41" s="443"/>
      <c r="AN41" s="443"/>
      <c r="AO41" s="443"/>
      <c r="AP41" s="443"/>
      <c r="AQ41" s="443"/>
      <c r="AR41" s="443"/>
      <c r="AS41" s="443"/>
      <c r="AT41" s="443"/>
      <c r="AU41" s="443"/>
      <c r="AV41" s="443"/>
      <c r="AW41" s="443"/>
      <c r="AX41" s="443"/>
      <c r="AY41" s="3"/>
      <c r="AZ41" s="146">
        <f>IF(C25=$BY$27,(F25*E25/1000000)*8,IF(C25=$BY$28,(F25*E25/1000000)*6.5,(F25*E25/1000000)*11))</f>
        <v>21.444786000000001</v>
      </c>
      <c r="BA41" s="96">
        <v>1000</v>
      </c>
      <c r="BB41" s="96">
        <v>1250</v>
      </c>
      <c r="BC41" s="96">
        <v>1800</v>
      </c>
      <c r="BD41" s="96">
        <v>2000</v>
      </c>
      <c r="BE41" s="96">
        <v>2500</v>
      </c>
      <c r="BF41" s="96">
        <v>2700</v>
      </c>
      <c r="BG41" s="96">
        <v>3000</v>
      </c>
      <c r="BH41" s="96">
        <v>3600</v>
      </c>
      <c r="BI41" s="96">
        <v>3750</v>
      </c>
      <c r="BJ41" s="96">
        <v>4000</v>
      </c>
      <c r="BK41" s="96">
        <v>5000</v>
      </c>
      <c r="BL41" s="142">
        <v>5400</v>
      </c>
      <c r="BM41" s="187"/>
      <c r="BN41" s="186"/>
      <c r="BO41" s="186"/>
      <c r="BP41" s="186"/>
      <c r="BQ41" s="186"/>
      <c r="BR41" s="186"/>
      <c r="BS41" s="186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2">IF(E42&lt;&gt;0,$E$10,0)</f>
        <v>0</v>
      </c>
      <c r="H42" s="75">
        <f>E42*F42*D42*G42/1000000</f>
        <v>0</v>
      </c>
      <c r="K42" s="473" t="s">
        <v>161</v>
      </c>
      <c r="L42" s="474"/>
      <c r="M42" s="474"/>
      <c r="N42" s="474"/>
      <c r="O42" s="293" t="s">
        <v>201</v>
      </c>
      <c r="P42" s="232">
        <f>IF(P41&gt;0,N9*2,0)</f>
        <v>0</v>
      </c>
      <c r="Q42" s="251"/>
      <c r="R42" s="251"/>
      <c r="S42" s="262">
        <f>P42*Цены!J176</f>
        <v>0</v>
      </c>
      <c r="T42" s="243"/>
      <c r="AY42" s="3"/>
      <c r="AZ42" s="146">
        <f>IF(C26=$BY$27,(F26*E26/1000000)*8,IF(C26=$BY$28,(F26*E26/1000000)*6.5,(F26*E26/1000000)*11))</f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315">
        <f>BL26</f>
        <v>6</v>
      </c>
      <c r="BM42" s="141"/>
      <c r="BN42" s="188"/>
      <c r="BO42" s="188"/>
      <c r="BP42" s="188"/>
      <c r="BQ42" s="188"/>
      <c r="BR42" s="188"/>
      <c r="BS42" s="188"/>
      <c r="BV42" s="152"/>
      <c r="BW42" s="152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2"/>
        <v>0</v>
      </c>
      <c r="H43" s="75">
        <f>E43*F43*D43*G43/1000000</f>
        <v>0</v>
      </c>
      <c r="K43" s="473" t="s">
        <v>162</v>
      </c>
      <c r="L43" s="474"/>
      <c r="M43" s="474"/>
      <c r="N43" s="474"/>
      <c r="O43" s="206" t="s">
        <v>230</v>
      </c>
      <c r="P43" s="232">
        <f>E16</f>
        <v>0</v>
      </c>
      <c r="Q43" s="251"/>
      <c r="R43" s="251"/>
      <c r="S43" s="262">
        <f>P43*Цены!J146</f>
        <v>0</v>
      </c>
      <c r="T43" s="243"/>
      <c r="AY43" s="3"/>
      <c r="AZ43" s="146">
        <f>IF(C27=$BY$27,(F27*E27/1000000)*8,IF(C27=$BY$28,(F27*E27/1000000)*6.5,(F27*E27/1000000)*11))</f>
        <v>0</v>
      </c>
      <c r="BA43" s="14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315">
        <f>BL27</f>
        <v>1</v>
      </c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2"/>
        <v>0</v>
      </c>
      <c r="H44" s="75">
        <f>E44*F44*D44*G44/1000000</f>
        <v>0</v>
      </c>
      <c r="K44" s="478" t="s">
        <v>476</v>
      </c>
      <c r="L44" s="479"/>
      <c r="M44" s="479"/>
      <c r="N44" s="479"/>
      <c r="O44" s="236" t="s">
        <v>477</v>
      </c>
      <c r="P44" s="339">
        <f>E17</f>
        <v>0</v>
      </c>
      <c r="Q44" s="251"/>
      <c r="R44" s="251"/>
      <c r="S44" s="262">
        <f>P45*Цены!J111</f>
        <v>0</v>
      </c>
      <c r="T44" s="257"/>
      <c r="AY44" s="5"/>
      <c r="AZ44" s="146">
        <f>IF(C28=$BY$27,(F28*E28/1000000)*8,IF(C28=$BY$28,(F28*E28/1000000)*6.5,(F28*E28/1000000)*11))</f>
        <v>0</v>
      </c>
      <c r="BA44" s="143">
        <v>0</v>
      </c>
      <c r="BB44" s="143">
        <v>0</v>
      </c>
      <c r="BC44" s="143">
        <v>0</v>
      </c>
      <c r="BD44" s="143">
        <v>0</v>
      </c>
      <c r="BE44" s="141">
        <f>IF(AND((E37+E38)&gt;BD5,BP44=1),1,0)</f>
        <v>0</v>
      </c>
      <c r="BF44" s="143">
        <v>0</v>
      </c>
      <c r="BG44" s="143">
        <v>0</v>
      </c>
      <c r="BH44" s="143">
        <v>0</v>
      </c>
      <c r="BI44" s="143">
        <v>0</v>
      </c>
      <c r="BJ44" s="143">
        <v>0</v>
      </c>
      <c r="BK44" s="141">
        <f>IF(E4+E5&lt;=4950,BR44,IF(AND(BM44&gt;2500,BM44&lt;=4950),BN44+1,BN44)+IF(AND(BM45&gt;2500,BM45&lt;=4950),BN45+1,BN45)+IF(BP44=2,1,0))</f>
        <v>6</v>
      </c>
      <c r="BL44" s="143">
        <v>0</v>
      </c>
      <c r="BM44" s="185">
        <f>BM28</f>
        <v>0</v>
      </c>
      <c r="BN44" s="185">
        <f t="shared" ref="BN44:BR44" si="23">BN28</f>
        <v>3</v>
      </c>
      <c r="BO44" s="185"/>
      <c r="BP44" s="185">
        <f t="shared" si="23"/>
        <v>0</v>
      </c>
      <c r="BQ44" s="185"/>
      <c r="BR44" s="185">
        <f t="shared" si="23"/>
        <v>4</v>
      </c>
      <c r="BS44" s="185"/>
      <c r="BY44" s="79" t="s">
        <v>119</v>
      </c>
    </row>
    <row r="45" spans="1:83" ht="25.05" customHeight="1" thickBot="1" x14ac:dyDescent="0.35">
      <c r="B45" s="66"/>
      <c r="C45" s="67"/>
      <c r="D45" s="67"/>
      <c r="E45" s="520" t="s">
        <v>79</v>
      </c>
      <c r="F45" s="521"/>
      <c r="G45" s="522"/>
      <c r="H45" s="81">
        <f>SUM(H40:H44)</f>
        <v>0</v>
      </c>
      <c r="K45" s="473" t="s">
        <v>164</v>
      </c>
      <c r="L45" s="474"/>
      <c r="M45" s="474"/>
      <c r="N45" s="474"/>
      <c r="O45" s="236" t="s">
        <v>231</v>
      </c>
      <c r="P45" s="232">
        <f>IF(AND(E18=BY23,E12=BY23),1,IF(AND(E18=BY23,E11=BY23),2,IF(E18=BY23,E9-1+E10-1,0)))</f>
        <v>0</v>
      </c>
      <c r="Q45" s="250"/>
      <c r="R45" s="250"/>
      <c r="S45" s="456">
        <f>P46*Цены!J167</f>
        <v>0</v>
      </c>
      <c r="T45" s="5"/>
      <c r="U45" s="24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146">
        <f>IF(C29=$BY$27,(F29*E29/1000000)*8,IF(C29=$BY$28,(F29*E29/1000000)*6.5,(F29*E29/1000000)*11))</f>
        <v>0</v>
      </c>
      <c r="BM45" s="185">
        <f t="shared" ref="BM45:BR45" si="24">BM29</f>
        <v>0</v>
      </c>
      <c r="BN45" s="185">
        <f t="shared" si="24"/>
        <v>3</v>
      </c>
      <c r="BO45" s="185"/>
      <c r="BP45" s="185">
        <f t="shared" si="24"/>
        <v>0</v>
      </c>
      <c r="BQ45" s="185"/>
      <c r="BR45" s="185">
        <f t="shared" si="24"/>
        <v>0</v>
      </c>
      <c r="BS45" s="185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476" t="s">
        <v>470</v>
      </c>
      <c r="L46" s="477"/>
      <c r="M46" s="477"/>
      <c r="N46" s="477"/>
      <c r="O46" s="462" t="s">
        <v>471</v>
      </c>
      <c r="P46" s="449">
        <f>P30</f>
        <v>0</v>
      </c>
      <c r="Q46" s="246"/>
      <c r="R46" s="550" t="s">
        <v>432</v>
      </c>
      <c r="S46" s="457">
        <f>SUM(S25:S45)</f>
        <v>21827.649999999998</v>
      </c>
      <c r="T46" s="257"/>
      <c r="U46" s="24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5"/>
      <c r="AZ46" s="147">
        <f>SUM(AZ41:AZ45)</f>
        <v>21.444786000000001</v>
      </c>
      <c r="BA46" s="143">
        <v>0</v>
      </c>
      <c r="BB46" s="143">
        <v>0</v>
      </c>
      <c r="BC46" s="143">
        <v>0</v>
      </c>
      <c r="BD46" s="143">
        <v>0</v>
      </c>
      <c r="BE46" s="141">
        <f t="shared" ref="BE46" si="25">IF(BP46=1,1,0)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IF(E4+E5&lt;=5025,BR46,IF(AND(BM46&gt;2500,BM46&lt;=5025),BN46+1,BN46)+IF(AND(BM47&gt;2500,BM47&lt;=5025),BN47+1,BN47)+IF(BP46=2,1,0))</f>
        <v>2</v>
      </c>
      <c r="BL46" s="143">
        <v>0</v>
      </c>
      <c r="BM46" s="185">
        <f t="shared" ref="BM46:BR46" si="26">BM30</f>
        <v>0</v>
      </c>
      <c r="BN46" s="185">
        <f t="shared" si="26"/>
        <v>1</v>
      </c>
      <c r="BO46" s="185"/>
      <c r="BP46" s="185">
        <f t="shared" si="26"/>
        <v>0</v>
      </c>
      <c r="BQ46" s="185"/>
      <c r="BR46" s="185">
        <f t="shared" si="26"/>
        <v>2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268</v>
      </c>
      <c r="H47" s="357">
        <f>ROUNDUP((AZ22+AZ55)*1.1,0)</f>
        <v>30</v>
      </c>
      <c r="I47" s="6"/>
      <c r="J47" s="6"/>
      <c r="K47" s="6"/>
      <c r="L47" s="6"/>
      <c r="M47" s="327"/>
      <c r="N47" s="345"/>
      <c r="O47" s="99"/>
      <c r="P47" s="99"/>
      <c r="Q47" s="254"/>
      <c r="R47" s="550"/>
      <c r="S47" s="6"/>
      <c r="T47" s="5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85">
        <f t="shared" ref="BM47:BP47" si="27">BM31</f>
        <v>0</v>
      </c>
      <c r="BN47" s="185">
        <f t="shared" si="27"/>
        <v>1</v>
      </c>
      <c r="BO47" s="185"/>
      <c r="BP47" s="185">
        <f t="shared" si="27"/>
        <v>0</v>
      </c>
      <c r="BQ47" s="185"/>
      <c r="BR47" s="185"/>
      <c r="BS47" s="185"/>
      <c r="BY47" s="90" t="s">
        <v>126</v>
      </c>
    </row>
    <row r="48" spans="1:83" ht="25.05" customHeight="1" thickBot="1" x14ac:dyDescent="0.35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"/>
      <c r="L48" s="6"/>
      <c r="M48" s="551" t="s">
        <v>528</v>
      </c>
      <c r="N48" s="551"/>
      <c r="O48" s="551"/>
      <c r="P48" s="551"/>
      <c r="Q48" s="430"/>
      <c r="R48" s="6"/>
      <c r="S48" s="134">
        <f>S19+S46+H30</f>
        <v>96606.86</v>
      </c>
      <c r="T48" s="5"/>
      <c r="BA48" s="143">
        <v>0</v>
      </c>
      <c r="BB48" s="143">
        <v>0</v>
      </c>
      <c r="BC48" s="143">
        <v>0</v>
      </c>
      <c r="BD48" s="143">
        <v>0</v>
      </c>
      <c r="BE48" s="141">
        <f>IF(AND((BM48+BM49)&gt;0,(BM48+BM49)&lt;=2500),1,0)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IF(BP48=1,0,IF(AND(BM48&gt;2500,BM48&lt;=4950),1,0)+IF(AND(BM49&gt;2500,BM49&lt;=4950),1,0))+BP48+BN48+BN49</f>
        <v>2</v>
      </c>
      <c r="BL48" s="143">
        <v>0</v>
      </c>
      <c r="BM48" s="185">
        <f t="shared" ref="BM48:BP48" si="28">BM32</f>
        <v>0</v>
      </c>
      <c r="BN48" s="185">
        <f t="shared" si="28"/>
        <v>1</v>
      </c>
      <c r="BO48" s="185"/>
      <c r="BP48" s="185">
        <f t="shared" si="28"/>
        <v>0</v>
      </c>
      <c r="BQ48" s="185"/>
      <c r="BR48" s="185"/>
      <c r="BS48" s="185"/>
      <c r="BY48" s="1" t="s">
        <v>94</v>
      </c>
    </row>
    <row r="49" spans="1:79" ht="30" customHeight="1" x14ac:dyDescent="0.3">
      <c r="A49" s="6"/>
      <c r="T49" s="5"/>
      <c r="AZ49" s="54" t="s">
        <v>457</v>
      </c>
      <c r="BM49" s="185">
        <f t="shared" ref="BM49:BP49" si="29">BM33</f>
        <v>0</v>
      </c>
      <c r="BN49" s="185">
        <f t="shared" si="29"/>
        <v>1</v>
      </c>
      <c r="BO49" s="185"/>
      <c r="BP49" s="185">
        <f t="shared" si="29"/>
        <v>0</v>
      </c>
      <c r="BQ49" s="185"/>
      <c r="BR49" s="185"/>
      <c r="BS49" s="185"/>
      <c r="BT49" s="188"/>
      <c r="BU49" s="189"/>
      <c r="BY49" s="6"/>
    </row>
    <row r="50" spans="1:79" ht="30" customHeight="1" x14ac:dyDescent="0.3">
      <c r="A50" s="6"/>
      <c r="T50" s="5"/>
      <c r="AZ50" s="146">
        <f>IF(C40=$BY$27,(F40*E40/1000000)*8,IF(C40=$BY$28,(F40*E40/1000000)*6.5,(F40*E40/1000000)*11))</f>
        <v>21.444786000000001</v>
      </c>
      <c r="BA50" s="143">
        <v>0</v>
      </c>
      <c r="BB50" s="143">
        <v>0</v>
      </c>
      <c r="BC50" s="143">
        <v>0</v>
      </c>
      <c r="BD50" s="143">
        <v>0</v>
      </c>
      <c r="BE50" s="190">
        <f>IF(E7=CG7,IF(AND((BM50+BM51)&gt;0,(BM50+BM51)&lt;=2500),1,0),0)</f>
        <v>0</v>
      </c>
      <c r="BF50" s="191">
        <f>IF(E7=CG6,IF(AND((BP50+BP51)&gt;0,(BP50+BP51)&lt;=2700),1,0),0)</f>
        <v>0</v>
      </c>
      <c r="BG50" s="143">
        <v>0</v>
      </c>
      <c r="BH50" s="143">
        <v>0</v>
      </c>
      <c r="BI50" s="143">
        <v>0</v>
      </c>
      <c r="BJ50" s="143">
        <v>0</v>
      </c>
      <c r="BK50" s="190">
        <f>IF(E7=CG7,IF(AND(BM19&gt;4000,BM19&lt;=4950),BN17+BN18+1,BN17+BN18),0)</f>
        <v>0</v>
      </c>
      <c r="BL50" s="191">
        <f>IF(E7=CG6,IF(AND(BP19&gt;3600,BP19&lt;=5350),BQ17+BQ18+1,BQ17+BQ18),0)</f>
        <v>0</v>
      </c>
      <c r="BM50" s="185">
        <f t="shared" ref="BM50:BQ50" si="30">BM34</f>
        <v>0</v>
      </c>
      <c r="BN50" s="185">
        <f t="shared" si="30"/>
        <v>0</v>
      </c>
      <c r="BO50" s="185"/>
      <c r="BP50" s="185">
        <f t="shared" si="30"/>
        <v>0</v>
      </c>
      <c r="BQ50" s="185">
        <f t="shared" si="30"/>
        <v>0</v>
      </c>
      <c r="BR50" s="185"/>
      <c r="BS50" s="185"/>
      <c r="BT50" s="6"/>
      <c r="BU50" s="6"/>
      <c r="BY50" s="38" t="str">
        <f>Цены!G6</f>
        <v>Серебро матовое</v>
      </c>
    </row>
    <row r="51" spans="1:79" x14ac:dyDescent="0.3">
      <c r="A51" s="6"/>
      <c r="T51" s="5"/>
      <c r="AZ51" s="146">
        <f>IF(C41=$BY$27,(F41*E41/1000000)*8,IF(C41=$BY$28,(F41*E41/1000000)*6.5,(F41*E41/1000000)*11))</f>
        <v>0</v>
      </c>
      <c r="BM51" s="185">
        <f t="shared" ref="BM51:BQ51" si="31">BM35</f>
        <v>0</v>
      </c>
      <c r="BN51" s="185">
        <f t="shared" si="31"/>
        <v>0</v>
      </c>
      <c r="BO51" s="185"/>
      <c r="BP51" s="185">
        <f t="shared" si="31"/>
        <v>0</v>
      </c>
      <c r="BQ51" s="185">
        <f t="shared" si="31"/>
        <v>0</v>
      </c>
      <c r="BR51" s="185"/>
      <c r="BS51" s="185"/>
      <c r="BT51" s="144"/>
      <c r="BU51" s="144"/>
      <c r="BY51" s="38" t="str">
        <f>Цены!G7</f>
        <v>Черный матовый</v>
      </c>
    </row>
    <row r="52" spans="1:79" x14ac:dyDescent="0.3">
      <c r="A52" s="6"/>
      <c r="T52" s="5"/>
      <c r="AZ52" s="146">
        <f>IF(C42=$BY$27,(F42*E42/1000000)*8,IF(C42=$BY$28,(F42*E42/1000000)*6.5,(F42*E42/1000000)*11))</f>
        <v>0</v>
      </c>
      <c r="BM52" s="185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8" t="str">
        <f>Цены!G8</f>
        <v>Слоновая кость</v>
      </c>
    </row>
    <row r="53" spans="1:79" x14ac:dyDescent="0.3">
      <c r="T53" s="5"/>
      <c r="AZ53" s="146">
        <f>IF(C43=$BY$27,(F43*E43/1000000)*8,IF(C43=$BY$28,(F43*E43/1000000)*6.5,(F43*E43/1000000)*11))</f>
        <v>0</v>
      </c>
      <c r="BM53" s="544" t="s">
        <v>526</v>
      </c>
      <c r="BN53" s="544"/>
      <c r="BP53" s="543" t="s">
        <v>450</v>
      </c>
      <c r="BQ53" s="543"/>
      <c r="BY53" s="38" t="str">
        <f>Цены!G9</f>
        <v>Белый матовый</v>
      </c>
    </row>
    <row r="54" spans="1:79" ht="15" thickBot="1" x14ac:dyDescent="0.35">
      <c r="T54" s="6"/>
      <c r="AZ54" s="146">
        <f>IF(C44=$BY$27,(F44*E44/1000000)*8,IF(C44=$BY$28,(F44*E44/1000000)*6.5,(F44*E44/1000000)*11))</f>
        <v>0</v>
      </c>
      <c r="BY54" s="38" t="str">
        <f>Цены!G10</f>
        <v xml:space="preserve">Венге темный </v>
      </c>
    </row>
    <row r="55" spans="1:79" ht="15" thickBot="1" x14ac:dyDescent="0.35">
      <c r="T55" s="6"/>
      <c r="AZ55" s="147">
        <f>SUM(AZ50:AZ54)</f>
        <v>21.444786000000001</v>
      </c>
      <c r="BY55" s="38" t="str">
        <f>Цены!G11</f>
        <v>Дуб белый</v>
      </c>
    </row>
    <row r="56" spans="1:79" ht="25.05" customHeight="1" x14ac:dyDescent="0.3">
      <c r="BA56" s="3"/>
      <c r="BB56" s="3"/>
      <c r="BC56" s="3"/>
      <c r="BD56" s="3"/>
      <c r="BE56" s="3"/>
      <c r="BF56" s="241" t="s">
        <v>525</v>
      </c>
      <c r="BG56" s="3"/>
      <c r="BH56" s="3"/>
      <c r="BI56" s="3"/>
      <c r="BJ56" s="3"/>
      <c r="BK56" s="3"/>
      <c r="BL56" s="3"/>
      <c r="BM56" s="3"/>
      <c r="BY56" s="38" t="str">
        <f>Цены!G12</f>
        <v xml:space="preserve"> медь античная*</v>
      </c>
    </row>
    <row r="57" spans="1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8" t="str">
        <f>Цены!G13</f>
        <v>сталь воронёная</v>
      </c>
    </row>
    <row r="58" spans="1:79" ht="25.05" customHeight="1" x14ac:dyDescent="0.3">
      <c r="BA58" s="96">
        <v>1000</v>
      </c>
      <c r="BB58" s="96">
        <v>1250</v>
      </c>
      <c r="BC58" s="96">
        <v>1800</v>
      </c>
      <c r="BD58" s="96">
        <v>2000</v>
      </c>
      <c r="BE58" s="96">
        <v>2500</v>
      </c>
      <c r="BF58" s="96">
        <v>2700</v>
      </c>
      <c r="BG58" s="96">
        <v>3000</v>
      </c>
      <c r="BH58" s="96">
        <v>3600</v>
      </c>
      <c r="BI58" s="96">
        <v>3750</v>
      </c>
      <c r="BJ58" s="96">
        <v>4000</v>
      </c>
      <c r="BK58" s="96">
        <v>5000</v>
      </c>
      <c r="BL58" s="142">
        <v>5400</v>
      </c>
      <c r="BM58" s="187"/>
      <c r="BN58" s="186"/>
      <c r="BO58" s="186"/>
      <c r="BP58" s="186"/>
      <c r="BQ58" s="186"/>
      <c r="BR58" s="186"/>
      <c r="BS58" s="186"/>
      <c r="BY58" s="38" t="str">
        <f>Цены!G14</f>
        <v>золото матовое</v>
      </c>
    </row>
    <row r="59" spans="1:79" ht="25.05" customHeight="1" x14ac:dyDescent="0.3"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315">
        <f>BL42</f>
        <v>6</v>
      </c>
      <c r="BM59" s="141"/>
      <c r="BN59" s="188"/>
      <c r="BO59" s="188"/>
      <c r="BP59" s="188"/>
      <c r="BQ59" s="188"/>
      <c r="BR59" s="188"/>
      <c r="BS59" s="188"/>
      <c r="BY59" s="38" t="str">
        <f>Цены!G15</f>
        <v>антрацит</v>
      </c>
      <c r="CA59" s="48">
        <v>0</v>
      </c>
    </row>
    <row r="60" spans="1:79" ht="25.05" customHeight="1" x14ac:dyDescent="0.3"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315">
        <f>BL43</f>
        <v>1</v>
      </c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3">
        <v>0</v>
      </c>
      <c r="BB61" s="143">
        <v>0</v>
      </c>
      <c r="BC61" s="143">
        <v>0</v>
      </c>
      <c r="BD61" s="143">
        <v>0</v>
      </c>
      <c r="BE61" s="141">
        <f>IF(AND((E54+E55)&gt;BD5,BP61=1),1,0)</f>
        <v>0</v>
      </c>
      <c r="BF61" s="143">
        <v>0</v>
      </c>
      <c r="BG61" s="143">
        <v>0</v>
      </c>
      <c r="BH61" s="143">
        <v>0</v>
      </c>
      <c r="BI61" s="143">
        <v>0</v>
      </c>
      <c r="BJ61" s="143">
        <v>0</v>
      </c>
      <c r="BK61" s="141">
        <f>IF(E4+E5&lt;=4950,BR61,IF(AND(BM61&gt;2500,BM61&lt;=4950),BN61+1,BN61)+IF(AND(BM62&gt;2500,BM62&lt;=4950),BN62+1,BN62)+IF(BP61=2,1,0))</f>
        <v>6</v>
      </c>
      <c r="BL61" s="143">
        <v>0</v>
      </c>
      <c r="BM61" s="185">
        <f t="shared" ref="BM61:BN61" si="32">BM44</f>
        <v>0</v>
      </c>
      <c r="BN61" s="185">
        <f t="shared" si="32"/>
        <v>3</v>
      </c>
      <c r="BO61" s="185"/>
      <c r="BP61" s="185">
        <f>BP44</f>
        <v>0</v>
      </c>
      <c r="BQ61" s="185"/>
      <c r="BR61" s="185">
        <f>BR44</f>
        <v>4</v>
      </c>
      <c r="BS61" s="141"/>
      <c r="BY61" s="38" t="str">
        <f>Цены!G17</f>
        <v>жемчуг серый*</v>
      </c>
      <c r="CA61" s="48">
        <v>2</v>
      </c>
    </row>
    <row r="62" spans="1:79" ht="25.05" customHeight="1" x14ac:dyDescent="0.3">
      <c r="AZ62" s="146"/>
      <c r="BM62" s="185">
        <f t="shared" ref="BM62:BN62" si="33">BM45</f>
        <v>0</v>
      </c>
      <c r="BN62" s="185">
        <f t="shared" si="33"/>
        <v>3</v>
      </c>
      <c r="BO62" s="185"/>
      <c r="BP62" s="185"/>
      <c r="BQ62" s="185"/>
      <c r="BR62" s="185"/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 t="shared" ref="BE63" si="34">IF(BP63=1,1,0)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IF(E4+E5&lt;=5025,BR63,IF(AND(BM63&gt;2500,BM63&lt;=5025),BN63+1,BN63)+IF(AND(BM64&gt;2500,BM64&lt;=5025),BN64+1,BN64)+IF(BP63=2,1,0))</f>
        <v>2</v>
      </c>
      <c r="BL63" s="143">
        <v>0</v>
      </c>
      <c r="BM63" s="185">
        <f t="shared" ref="BM63:BN63" si="35">BM46</f>
        <v>0</v>
      </c>
      <c r="BN63" s="185">
        <f t="shared" si="35"/>
        <v>1</v>
      </c>
      <c r="BO63" s="185"/>
      <c r="BP63" s="185">
        <f>BP46</f>
        <v>0</v>
      </c>
      <c r="BQ63" s="185"/>
      <c r="BR63" s="185">
        <f>BR46</f>
        <v>2</v>
      </c>
      <c r="BS63" s="188"/>
      <c r="CA63" s="48">
        <v>4</v>
      </c>
    </row>
    <row r="64" spans="1:79" ht="25.05" customHeight="1" x14ac:dyDescent="0.3"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85">
        <f t="shared" ref="BM64:BN64" si="36">BM47</f>
        <v>0</v>
      </c>
      <c r="BN64" s="185">
        <f t="shared" si="36"/>
        <v>1</v>
      </c>
      <c r="BO64" s="185"/>
      <c r="BP64" s="185"/>
      <c r="BQ64" s="185"/>
      <c r="BR64" s="185"/>
      <c r="BS64" s="188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>IF(AND((BM65+BM66)&gt;0,(BM65+BM66)&lt;=2500),1,0)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IF(BP65=1,0,IF(AND(BM65&gt;2500,BM65&lt;=4950),1,0)+IF(AND(BM66&gt;2500,BM66&lt;=4950),1,0))+BP65+BN65+BN66</f>
        <v>2</v>
      </c>
      <c r="BL65" s="143">
        <v>0</v>
      </c>
      <c r="BM65" s="185">
        <f t="shared" ref="BM65:BN65" si="37">BM48</f>
        <v>0</v>
      </c>
      <c r="BN65" s="185">
        <f t="shared" si="37"/>
        <v>1</v>
      </c>
      <c r="BO65" s="185"/>
      <c r="BP65" s="185">
        <f>IF(AND((BM65+BM66)&gt;3750,(BM65+BM66)&lt;=5000),1,0)</f>
        <v>0</v>
      </c>
      <c r="BQ65" s="185"/>
      <c r="BR65" s="185"/>
      <c r="BS65" s="188"/>
    </row>
    <row r="66" spans="53:77" ht="25.05" customHeight="1" x14ac:dyDescent="0.3">
      <c r="BM66" s="185">
        <f t="shared" ref="BM66:BN66" si="38">BM49</f>
        <v>0</v>
      </c>
      <c r="BN66" s="185">
        <f t="shared" si="38"/>
        <v>1</v>
      </c>
      <c r="BO66" s="185"/>
      <c r="BP66" s="185"/>
      <c r="BQ66" s="185"/>
      <c r="BR66" s="185">
        <f>BR49</f>
        <v>0</v>
      </c>
      <c r="BS66" s="185">
        <f>BS49</f>
        <v>0</v>
      </c>
      <c r="BT66" s="188"/>
      <c r="BU66" s="189"/>
    </row>
    <row r="67" spans="53:77" ht="25.05" customHeight="1" x14ac:dyDescent="0.3">
      <c r="BA67" s="143">
        <v>0</v>
      </c>
      <c r="BB67" s="143">
        <v>0</v>
      </c>
      <c r="BC67" s="191">
        <f>IF(E7=CG6,IF(AND((BP67+BP68)&gt;0,(BP67+BP68)&lt;=1800),1,0),0)</f>
        <v>0</v>
      </c>
      <c r="BD67" s="143">
        <v>0</v>
      </c>
      <c r="BE67" s="190">
        <f>IF(E7=CG7,IF(AND((BM67+BM68)&gt;0,(BM67+BM68)&lt;=2500),1,0),0)</f>
        <v>0</v>
      </c>
      <c r="BF67" s="191">
        <f>IF(E7=CG6,IF(AND((BP67+BP68)&gt;1800,(BP67+BP68)&lt;=2700),1,0),0)</f>
        <v>0</v>
      </c>
      <c r="BG67" s="143">
        <v>0</v>
      </c>
      <c r="BH67" s="191">
        <f>IF(E7=CG6,IF(AND(BP36&gt;2700,BP36&lt;=3600),1,0),0)</f>
        <v>0</v>
      </c>
      <c r="BI67" s="143">
        <v>0</v>
      </c>
      <c r="BJ67" s="143">
        <v>0</v>
      </c>
      <c r="BK67" s="190">
        <f>IF(E7=CG7,IF(AND(BM19&gt;4000,BM19&lt;=4950),BN17+BN18+1,BN17+BN18),0)</f>
        <v>0</v>
      </c>
      <c r="BL67" s="191">
        <f>IF(E7=CG6,IF(AND(BP19&gt;3600,BP19&lt;=5350),BQ17+BQ18+1,BQ17+BQ18),0)</f>
        <v>0</v>
      </c>
      <c r="BM67" s="185">
        <f>BM50</f>
        <v>0</v>
      </c>
      <c r="BN67" s="185">
        <f>BN50</f>
        <v>0</v>
      </c>
      <c r="BO67" s="185"/>
      <c r="BP67" s="185">
        <f>BP50</f>
        <v>0</v>
      </c>
      <c r="BQ67" s="185">
        <f>BQ50</f>
        <v>0</v>
      </c>
      <c r="BR67" s="185">
        <f>IF(AND((BM67+BM68)&gt;3750,(BM67+BM68)&lt;=5000),1,0)</f>
        <v>0</v>
      </c>
      <c r="BS67" s="185">
        <f>BS50</f>
        <v>0</v>
      </c>
      <c r="BT67" s="6"/>
      <c r="BU67" s="6"/>
    </row>
    <row r="68" spans="53:77" ht="25.05" customHeight="1" x14ac:dyDescent="0.3">
      <c r="BM68" s="185">
        <f>BM51</f>
        <v>0</v>
      </c>
      <c r="BN68" s="185">
        <f>BN51</f>
        <v>0</v>
      </c>
      <c r="BO68" s="185"/>
      <c r="BP68" s="185">
        <f>BP51</f>
        <v>0</v>
      </c>
      <c r="BQ68" s="185">
        <f>BQ51</f>
        <v>0</v>
      </c>
      <c r="BR68" s="185"/>
      <c r="BT68" s="144"/>
      <c r="BU68" s="144"/>
    </row>
    <row r="69" spans="53:77" x14ac:dyDescent="0.3">
      <c r="BM69" s="185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176</v>
      </c>
    </row>
    <row r="70" spans="53:77" x14ac:dyDescent="0.3">
      <c r="BM70" s="544" t="s">
        <v>526</v>
      </c>
      <c r="BN70" s="544"/>
      <c r="BP70" s="543" t="s">
        <v>450</v>
      </c>
      <c r="BQ70" s="543"/>
      <c r="BY70" s="1" t="s">
        <v>175</v>
      </c>
    </row>
  </sheetData>
  <sheetProtection algorithmName="SHA-512" hashValue="GQJiGhXd0utEy9yPHieqq56qUeXHRD/YKg54/Kxcsyqo4N8pcQWxHQVv1+cY2XHhVjBzeNPWmqSFKtyM0aXFkw==" saltValue="ZcfQgGzqW41xM/3CChKMgw==" spinCount="100000" sheet="1" selectLockedCells="1"/>
  <mergeCells count="146"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O13:O14"/>
    <mergeCell ref="P13:P14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P15:P16"/>
    <mergeCell ref="W13:W14"/>
    <mergeCell ref="X13:X1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B17:D17"/>
    <mergeCell ref="E17:H17"/>
    <mergeCell ref="K27:N27"/>
    <mergeCell ref="E45:G45"/>
    <mergeCell ref="E30:G30"/>
    <mergeCell ref="K28:N28"/>
    <mergeCell ref="K29:N29"/>
    <mergeCell ref="K30:N30"/>
    <mergeCell ref="AC21:AH21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</mergeCells>
  <conditionalFormatting sqref="E8 E11:E14 E3:E4 E6">
    <cfRule type="cellIs" dxfId="137" priority="91" operator="greaterThan">
      <formula>0</formula>
    </cfRule>
  </conditionalFormatting>
  <conditionalFormatting sqref="E15:E16 E18">
    <cfRule type="cellIs" dxfId="136" priority="89" operator="greaterThan">
      <formula>0</formula>
    </cfRule>
  </conditionalFormatting>
  <conditionalFormatting sqref="V9:AG11 V13:AG15 V17:AG17">
    <cfRule type="cellIs" dxfId="135" priority="88" operator="equal">
      <formula>0</formula>
    </cfRule>
  </conditionalFormatting>
  <conditionalFormatting sqref="L4">
    <cfRule type="expression" dxfId="134" priority="86">
      <formula>$L$4&gt;3200</formula>
    </cfRule>
  </conditionalFormatting>
  <conditionalFormatting sqref="E7">
    <cfRule type="cellIs" dxfId="133" priority="85" operator="greaterThan">
      <formula>0</formula>
    </cfRule>
  </conditionalFormatting>
  <conditionalFormatting sqref="H32">
    <cfRule type="expression" dxfId="132" priority="84">
      <formula>$H$32&gt;60</formula>
    </cfRule>
  </conditionalFormatting>
  <conditionalFormatting sqref="AI19:AN19 M14:N14 Y13:AI13 E25 F25:H29 L4:L5 H30 T28:T44 M12:N12 N16 T12 O13:R13 M11:R11 T14 M15:R15 T16 T18 U45:U46 T20 P10 AI10 P25:R43 Q44:R45 P45:P46 U12:U19 T46 M9:R9 M17:R17 AS19:AU19 T9:AI9 T10:AG10 U11:AI11 V15:AI15 V17:AI17">
    <cfRule type="expression" dxfId="131" priority="96">
      <formula>$E$4=0</formula>
    </cfRule>
  </conditionalFormatting>
  <conditionalFormatting sqref="AS41:AX41 AJ41:AN41 AI21">
    <cfRule type="expression" dxfId="130" priority="97">
      <formula>$E$4=0</formula>
    </cfRule>
  </conditionalFormatting>
  <conditionalFormatting sqref="L5">
    <cfRule type="expression" dxfId="129" priority="98">
      <formula>AND(OR($L$5&lt;600,$L$5&gt;1200),$E$4&gt;0)</formula>
    </cfRule>
  </conditionalFormatting>
  <conditionalFormatting sqref="E10">
    <cfRule type="cellIs" dxfId="128" priority="102" operator="greaterThan">
      <formula>0</formula>
    </cfRule>
  </conditionalFormatting>
  <conditionalFormatting sqref="E4:H4">
    <cfRule type="expression" dxfId="127" priority="83">
      <formula>$E$4&gt;5000</formula>
    </cfRule>
  </conditionalFormatting>
  <conditionalFormatting sqref="E5">
    <cfRule type="cellIs" dxfId="126" priority="76" operator="greaterThan">
      <formula>0</formula>
    </cfRule>
  </conditionalFormatting>
  <conditionalFormatting sqref="E5:H5">
    <cfRule type="expression" dxfId="125" priority="75">
      <formula>$E$5&gt;5000</formula>
    </cfRule>
  </conditionalFormatting>
  <conditionalFormatting sqref="N4">
    <cfRule type="expression" dxfId="124" priority="72">
      <formula>$L$4&gt;3200</formula>
    </cfRule>
  </conditionalFormatting>
  <conditionalFormatting sqref="N4:N5">
    <cfRule type="expression" dxfId="123" priority="73">
      <formula>$E$4=0</formula>
    </cfRule>
  </conditionalFormatting>
  <conditionalFormatting sqref="N5">
    <cfRule type="expression" dxfId="122" priority="74">
      <formula>AND(OR($N$5&lt;600,$N$5&gt;1200),$E$4&gt;0)</formula>
    </cfRule>
  </conditionalFormatting>
  <conditionalFormatting sqref="E9">
    <cfRule type="cellIs" dxfId="121" priority="71" operator="greaterThan">
      <formula>0</formula>
    </cfRule>
  </conditionalFormatting>
  <conditionalFormatting sqref="D21:G21">
    <cfRule type="expression" dxfId="120" priority="981">
      <formula>$D$21=#REF!</formula>
    </cfRule>
  </conditionalFormatting>
  <conditionalFormatting sqref="AE17">
    <cfRule type="cellIs" dxfId="119" priority="57" operator="equal">
      <formula>0</formula>
    </cfRule>
  </conditionalFormatting>
  <conditionalFormatting sqref="AE17">
    <cfRule type="expression" dxfId="118" priority="58">
      <formula>$E$4=0</formula>
    </cfRule>
  </conditionalFormatting>
  <conditionalFormatting sqref="Y17">
    <cfRule type="cellIs" dxfId="117" priority="61" operator="equal">
      <formula>0</formula>
    </cfRule>
  </conditionalFormatting>
  <conditionalFormatting sqref="Y17">
    <cfRule type="expression" dxfId="116" priority="62">
      <formula>$E$4=0</formula>
    </cfRule>
  </conditionalFormatting>
  <conditionalFormatting sqref="AB17">
    <cfRule type="cellIs" dxfId="115" priority="59" operator="equal">
      <formula>0</formula>
    </cfRule>
  </conditionalFormatting>
  <conditionalFormatting sqref="AB17">
    <cfRule type="expression" dxfId="114" priority="60">
      <formula>$E$4=0</formula>
    </cfRule>
  </conditionalFormatting>
  <conditionalFormatting sqref="AA17">
    <cfRule type="cellIs" dxfId="113" priority="55" operator="equal">
      <formula>0</formula>
    </cfRule>
  </conditionalFormatting>
  <conditionalFormatting sqref="AA17">
    <cfRule type="expression" dxfId="112" priority="56">
      <formula>$E$4=0</formula>
    </cfRule>
  </conditionalFormatting>
  <conditionalFormatting sqref="AC17">
    <cfRule type="cellIs" dxfId="111" priority="53" operator="equal">
      <formula>0</formula>
    </cfRule>
  </conditionalFormatting>
  <conditionalFormatting sqref="AC17">
    <cfRule type="expression" dxfId="110" priority="54">
      <formula>$E$4=0</formula>
    </cfRule>
  </conditionalFormatting>
  <conditionalFormatting sqref="E40 H45 F40:H44">
    <cfRule type="expression" dxfId="109" priority="31">
      <formula>$E$4=0</formula>
    </cfRule>
  </conditionalFormatting>
  <conditionalFormatting sqref="D36:G36">
    <cfRule type="expression" dxfId="108" priority="32">
      <formula>$D$21=#REF!</formula>
    </cfRule>
  </conditionalFormatting>
  <conditionalFormatting sqref="U1:AN2 T47:AN47 S22:T23 S1:T3 T7:T21 U23:AX23 AO1:AX6 S6:T6 T4:T5 U4:Z4 AC3:AN4 AO39:AX47 U3 W3 Z3:AA3 U5:AN8 U9:AI17 U39:AN40 U42:AN46 U41:AB41 AJ41:AN41 U18:AU19 U20:AB20 AJ20:AX20 AC21:AI21 AO7:AU8 T24:T46">
    <cfRule type="expression" dxfId="107" priority="20">
      <formula>$O$3=$CF$9</formula>
    </cfRule>
  </conditionalFormatting>
  <conditionalFormatting sqref="U1:AN2 U23:AX23 U4:Z4 AC3:AN4 U3 AO1:AX6 W3 Z3:AA3 U5:AN8 U9:AI17 U39:AX40 U42:AX47 U41:AB41 AJ41:AX41 U18:AU19 U20:AB20 AJ20:AX20 AC21:AI21 AO7:AU8">
    <cfRule type="expression" dxfId="106" priority="18">
      <formula>$O$3=$CF$10</formula>
    </cfRule>
  </conditionalFormatting>
  <conditionalFormatting sqref="H47">
    <cfRule type="expression" dxfId="105" priority="14">
      <formula>$H$47&gt;60</formula>
    </cfRule>
  </conditionalFormatting>
  <conditionalFormatting sqref="E17">
    <cfRule type="cellIs" dxfId="104" priority="11" operator="greaterThan">
      <formula>0</formula>
    </cfRule>
  </conditionalFormatting>
  <conditionalFormatting sqref="C31">
    <cfRule type="expression" dxfId="103" priority="1002">
      <formula>$C$31=$BY$43</formula>
    </cfRule>
    <cfRule type="expression" dxfId="102" priority="1003">
      <formula>$C$31=$BY$44</formula>
    </cfRule>
  </conditionalFormatting>
  <conditionalFormatting sqref="C33">
    <cfRule type="expression" dxfId="101" priority="1004">
      <formula>$C$33=$BY$47</formula>
    </cfRule>
  </conditionalFormatting>
  <conditionalFormatting sqref="C46">
    <cfRule type="expression" dxfId="100" priority="1009">
      <formula>$C$46=$BY$43</formula>
    </cfRule>
    <cfRule type="expression" dxfId="99" priority="1010">
      <formula>$C$46=$BY$44</formula>
    </cfRule>
  </conditionalFormatting>
  <conditionalFormatting sqref="C48">
    <cfRule type="expression" dxfId="98" priority="1011">
      <formula>$C$48=$BY$47</formula>
    </cfRule>
  </conditionalFormatting>
  <conditionalFormatting sqref="AO19:AR19">
    <cfRule type="expression" dxfId="97" priority="7">
      <formula>$E$4=0</formula>
    </cfRule>
  </conditionalFormatting>
  <conditionalFormatting sqref="AO41:AR41">
    <cfRule type="expression" dxfId="96" priority="8">
      <formula>$E$4=0</formula>
    </cfRule>
  </conditionalFormatting>
  <conditionalFormatting sqref="AJ9:AU17">
    <cfRule type="expression" dxfId="95" priority="3">
      <formula>$E$4=0</formula>
    </cfRule>
  </conditionalFormatting>
  <dataValidations count="10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9:H10">
      <formula1>$CA$60:$CA$64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topLeftCell="B19" zoomScale="70" zoomScaleNormal="70" zoomScalePageLayoutView="110" workbookViewId="0">
      <selection activeCell="E5" sqref="E5:H5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480" t="s">
        <v>104</v>
      </c>
      <c r="C1" s="480"/>
      <c r="D1" s="480"/>
      <c r="E1" s="480"/>
      <c r="F1" s="480"/>
      <c r="G1" s="480"/>
      <c r="H1" s="480"/>
      <c r="I1" s="149"/>
      <c r="J1" s="480" t="s">
        <v>105</v>
      </c>
      <c r="K1" s="480"/>
      <c r="L1" s="480"/>
      <c r="M1" s="480"/>
      <c r="N1" s="480"/>
      <c r="O1" s="480"/>
    </row>
    <row r="2" spans="1:83" ht="25.05" customHeight="1" thickBot="1" x14ac:dyDescent="0.35"/>
    <row r="3" spans="1:83" ht="25.05" customHeight="1" thickBot="1" x14ac:dyDescent="0.35">
      <c r="A3" s="6"/>
      <c r="B3" s="502" t="s">
        <v>121</v>
      </c>
      <c r="C3" s="503"/>
      <c r="D3" s="503"/>
      <c r="E3" s="581">
        <v>2600</v>
      </c>
      <c r="F3" s="510"/>
      <c r="G3" s="510"/>
      <c r="H3" s="511"/>
      <c r="I3" s="47"/>
      <c r="J3" s="485" t="s">
        <v>270</v>
      </c>
      <c r="K3" s="486"/>
      <c r="N3" s="437"/>
      <c r="O3" s="437"/>
      <c r="P3" s="104"/>
      <c r="Q3" s="104"/>
      <c r="R3" s="3"/>
      <c r="S3" s="3"/>
      <c r="T3" s="3"/>
      <c r="V3" s="366"/>
      <c r="W3" s="565" t="s">
        <v>424</v>
      </c>
      <c r="X3" s="565"/>
      <c r="Y3" s="565"/>
      <c r="Z3" s="534" t="s">
        <v>425</v>
      </c>
      <c r="AA3" s="534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425</v>
      </c>
    </row>
    <row r="4" spans="1:83" ht="25.05" customHeight="1" x14ac:dyDescent="0.3">
      <c r="B4" s="504" t="s">
        <v>120</v>
      </c>
      <c r="C4" s="505"/>
      <c r="D4" s="505"/>
      <c r="E4" s="580">
        <v>1000</v>
      </c>
      <c r="F4" s="512"/>
      <c r="G4" s="512"/>
      <c r="H4" s="513"/>
      <c r="J4" s="21" t="s">
        <v>18</v>
      </c>
      <c r="K4" s="291">
        <f>IF(E8=BV6,E3-77,E3-57)</f>
        <v>2523</v>
      </c>
      <c r="N4" s="6"/>
      <c r="O4" s="6"/>
      <c r="R4" s="541" t="s">
        <v>460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04" t="s">
        <v>449</v>
      </c>
      <c r="C5" s="505"/>
      <c r="D5" s="505"/>
      <c r="E5" s="582">
        <v>0</v>
      </c>
      <c r="F5" s="488"/>
      <c r="G5" s="488"/>
      <c r="H5" s="489"/>
      <c r="J5" s="150" t="s">
        <v>19</v>
      </c>
      <c r="K5" s="292">
        <f>ROUNDDOWN(IF(E9=BV9,(E4-10-10-2)/2,
IF(E9=BV10,(E4-10-10-2-2-10)/4,0)),0)</f>
        <v>489</v>
      </c>
      <c r="L5" s="5"/>
      <c r="M5" s="5"/>
      <c r="N5" s="5"/>
      <c r="O5" s="5"/>
      <c r="R5" s="542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458</v>
      </c>
      <c r="BZ5" s="1" t="s">
        <v>244</v>
      </c>
      <c r="CA5" s="1">
        <f>IF(E6=BY5,9,8)</f>
        <v>8</v>
      </c>
    </row>
    <row r="6" spans="1:83" ht="25.05" customHeight="1" thickBot="1" x14ac:dyDescent="0.35">
      <c r="B6" s="504" t="s">
        <v>243</v>
      </c>
      <c r="C6" s="505"/>
      <c r="D6" s="505"/>
      <c r="E6" s="582" t="s">
        <v>459</v>
      </c>
      <c r="F6" s="488"/>
      <c r="G6" s="488"/>
      <c r="H6" s="489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459</v>
      </c>
      <c r="BZ6" s="1" t="s">
        <v>260</v>
      </c>
    </row>
    <row r="7" spans="1:83" ht="25.05" customHeight="1" x14ac:dyDescent="0.3">
      <c r="B7" s="504" t="s">
        <v>122</v>
      </c>
      <c r="C7" s="505"/>
      <c r="D7" s="505"/>
      <c r="E7" s="583" t="s">
        <v>234</v>
      </c>
      <c r="F7" s="584"/>
      <c r="G7" s="584"/>
      <c r="H7" s="585"/>
      <c r="J7" s="571" t="s">
        <v>182</v>
      </c>
      <c r="K7" s="572"/>
      <c r="L7" s="572"/>
      <c r="M7" s="572"/>
      <c r="N7" s="428"/>
      <c r="O7" s="135"/>
      <c r="P7" s="324"/>
      <c r="Q7" s="324"/>
      <c r="R7" s="258"/>
      <c r="S7" s="194"/>
      <c r="T7" s="317"/>
      <c r="U7" s="537" t="s">
        <v>100</v>
      </c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8"/>
      <c r="AI7" s="451"/>
      <c r="AJ7" s="451"/>
      <c r="AK7" s="451"/>
      <c r="AL7" s="451"/>
      <c r="AM7" s="451"/>
      <c r="AN7" s="451"/>
      <c r="AO7" s="451"/>
      <c r="AP7" s="451"/>
      <c r="AQ7" s="451"/>
      <c r="AR7" s="451"/>
      <c r="AS7" s="451"/>
      <c r="AT7" s="451"/>
      <c r="AU7" s="451"/>
      <c r="AV7" s="451"/>
      <c r="AW7" s="451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567" t="s">
        <v>123</v>
      </c>
      <c r="C8" s="568"/>
      <c r="D8" s="568"/>
      <c r="E8" s="586" t="s">
        <v>154</v>
      </c>
      <c r="F8" s="587"/>
      <c r="G8" s="587"/>
      <c r="H8" s="588"/>
      <c r="J8" s="411" t="s">
        <v>0</v>
      </c>
      <c r="K8" s="412" t="s">
        <v>1</v>
      </c>
      <c r="L8" s="412" t="s">
        <v>7</v>
      </c>
      <c r="M8" s="412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25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06" t="s">
        <v>124</v>
      </c>
      <c r="C9" s="507"/>
      <c r="D9" s="507"/>
      <c r="E9" s="582">
        <v>1</v>
      </c>
      <c r="F9" s="488"/>
      <c r="G9" s="488"/>
      <c r="H9" s="489"/>
      <c r="J9" s="22" t="s">
        <v>2</v>
      </c>
      <c r="K9" s="238" t="s">
        <v>190</v>
      </c>
      <c r="L9" s="128">
        <f>K4</f>
        <v>2523</v>
      </c>
      <c r="M9" s="129">
        <f>IF(AND(E3&gt;0,E9=BV9),4,IF(AND(E3&gt;0,E9=BV10),8,0))</f>
        <v>4</v>
      </c>
      <c r="N9" s="432"/>
      <c r="O9" s="339">
        <f>IF(L9&gt;2650,M9,M9/2)</f>
        <v>2</v>
      </c>
      <c r="P9" s="269"/>
      <c r="Q9" s="269"/>
      <c r="R9" s="260">
        <f t="shared" ref="R9:R15" si="0">O9*BT9</f>
        <v>10006.42</v>
      </c>
      <c r="S9" s="255"/>
      <c r="T9" s="436" t="str">
        <f>J9</f>
        <v>вертикальный профиль</v>
      </c>
      <c r="U9" s="432">
        <f>IF($Z$3=$CE$21,AZ9,IF($Z$3=$CE$27,AZ35,IF($Z$3=$CE$28,AZ48,AZ22)))</f>
        <v>0</v>
      </c>
      <c r="V9" s="432">
        <f t="shared" ref="V9:AF9" si="1">IF($Z$3=$CE$21,BA9,IF($Z$3=$CE$27,BA35,IF($Z$3=$CE$28,BA48,BA22)))</f>
        <v>0</v>
      </c>
      <c r="W9" s="432">
        <f t="shared" si="1"/>
        <v>0</v>
      </c>
      <c r="X9" s="432">
        <f t="shared" si="1"/>
        <v>0</v>
      </c>
      <c r="Y9" s="432">
        <f t="shared" si="1"/>
        <v>0</v>
      </c>
      <c r="Z9" s="432">
        <f t="shared" si="1"/>
        <v>0</v>
      </c>
      <c r="AA9" s="432">
        <f t="shared" si="1"/>
        <v>0</v>
      </c>
      <c r="AB9" s="432">
        <f t="shared" si="1"/>
        <v>0</v>
      </c>
      <c r="AC9" s="432">
        <f t="shared" si="1"/>
        <v>0</v>
      </c>
      <c r="AD9" s="432">
        <f t="shared" si="1"/>
        <v>0</v>
      </c>
      <c r="AE9" s="432">
        <f t="shared" si="1"/>
        <v>0</v>
      </c>
      <c r="AF9" s="432">
        <f t="shared" si="1"/>
        <v>2</v>
      </c>
      <c r="AG9" s="123"/>
      <c r="AH9" s="433">
        <f>$R$9</f>
        <v>10006.42</v>
      </c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5003.21</v>
      </c>
      <c r="BV9" s="48">
        <v>1</v>
      </c>
      <c r="CE9" s="1" t="s">
        <v>462</v>
      </c>
    </row>
    <row r="10" spans="1:83" ht="25.05" customHeight="1" x14ac:dyDescent="0.3">
      <c r="B10" s="490" t="s">
        <v>173</v>
      </c>
      <c r="C10" s="491"/>
      <c r="D10" s="491"/>
      <c r="E10" s="589" t="s">
        <v>85</v>
      </c>
      <c r="F10" s="498"/>
      <c r="G10" s="498"/>
      <c r="H10" s="499"/>
      <c r="J10" s="22" t="s">
        <v>4</v>
      </c>
      <c r="K10" s="235" t="s">
        <v>191</v>
      </c>
      <c r="L10" s="128">
        <f>E4-2</f>
        <v>998</v>
      </c>
      <c r="M10" s="129">
        <f>IF(E4=0,0,1)</f>
        <v>1</v>
      </c>
      <c r="N10" s="417">
        <f>L10*M10</f>
        <v>998</v>
      </c>
      <c r="O10" s="339">
        <f>CEILING((L10*M10)/5000,1)</f>
        <v>1</v>
      </c>
      <c r="P10" s="269"/>
      <c r="Q10" s="269"/>
      <c r="R10" s="260">
        <f t="shared" si="0"/>
        <v>5377.78</v>
      </c>
      <c r="S10" s="255"/>
      <c r="T10" s="436" t="str">
        <f t="shared" ref="T10:T13" si="2">J10</f>
        <v>направляющая верхняя</v>
      </c>
      <c r="U10" s="432">
        <f>IF($Z$3=$CE$21,AZ10,IF($Z$3=$CE$27,AZ36,IF($Z$3=$CE$28,AZ49,AZ23)))</f>
        <v>0</v>
      </c>
      <c r="V10" s="432">
        <f t="shared" ref="V10:AF10" si="3">IF($Z$3=$CE$21,BA10,IF($Z$3=$CE$27,BA36,IF($Z$3=$CE$28,BA49,BA23)))</f>
        <v>0</v>
      </c>
      <c r="W10" s="432">
        <f t="shared" si="3"/>
        <v>0</v>
      </c>
      <c r="X10" s="432">
        <f t="shared" si="3"/>
        <v>0</v>
      </c>
      <c r="Y10" s="432">
        <f t="shared" si="3"/>
        <v>1</v>
      </c>
      <c r="Z10" s="432">
        <f t="shared" si="3"/>
        <v>0</v>
      </c>
      <c r="AA10" s="432">
        <f t="shared" si="3"/>
        <v>0</v>
      </c>
      <c r="AB10" s="432">
        <f t="shared" si="3"/>
        <v>0</v>
      </c>
      <c r="AC10" s="432">
        <f t="shared" si="3"/>
        <v>0</v>
      </c>
      <c r="AD10" s="432">
        <f t="shared" si="3"/>
        <v>0</v>
      </c>
      <c r="AE10" s="432">
        <f t="shared" si="3"/>
        <v>0</v>
      </c>
      <c r="AF10" s="432">
        <f t="shared" si="3"/>
        <v>0</v>
      </c>
      <c r="AG10" s="417">
        <f>AU10</f>
        <v>2500</v>
      </c>
      <c r="AH10" s="421">
        <f>Y10*BT10*0.5+AE10*BT10</f>
        <v>2688.89</v>
      </c>
      <c r="AI10" s="453">
        <f>U10*$U$8</f>
        <v>0</v>
      </c>
      <c r="AJ10" s="453">
        <f>V10*$V$8</f>
        <v>0</v>
      </c>
      <c r="AK10" s="453">
        <f>W10*$W$8</f>
        <v>0</v>
      </c>
      <c r="AL10" s="453">
        <f>X10*$X$8</f>
        <v>0</v>
      </c>
      <c r="AM10" s="453">
        <f>Y10*$Y$8</f>
        <v>2500</v>
      </c>
      <c r="AN10" s="453">
        <f>Z10*$Z$8</f>
        <v>0</v>
      </c>
      <c r="AO10" s="453">
        <f>AA10*$AA$8</f>
        <v>0</v>
      </c>
      <c r="AP10" s="453">
        <f>AB10*$AB$8</f>
        <v>0</v>
      </c>
      <c r="AQ10" s="453">
        <f>AC10*$AC$8</f>
        <v>0</v>
      </c>
      <c r="AR10" s="453">
        <f>AD10*$AD$8</f>
        <v>0</v>
      </c>
      <c r="AS10" s="453">
        <f>AE10*$AE$8</f>
        <v>0</v>
      </c>
      <c r="AT10" s="453">
        <f>AF10*$AF$8</f>
        <v>0</v>
      </c>
      <c r="AU10" s="453">
        <f>SUM(AI10:AT10)</f>
        <v>2500</v>
      </c>
      <c r="AV10" s="453"/>
      <c r="AW10" s="453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998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5377.78</v>
      </c>
      <c r="BV10" s="48">
        <v>2</v>
      </c>
      <c r="CE10" s="1" t="s">
        <v>460</v>
      </c>
    </row>
    <row r="11" spans="1:83" ht="25.05" customHeight="1" x14ac:dyDescent="0.3">
      <c r="B11" s="492" t="s">
        <v>158</v>
      </c>
      <c r="C11" s="493"/>
      <c r="D11" s="493"/>
      <c r="E11" s="589" t="s">
        <v>129</v>
      </c>
      <c r="F11" s="498"/>
      <c r="G11" s="498"/>
      <c r="H11" s="499"/>
      <c r="J11" s="22" t="s">
        <v>519</v>
      </c>
      <c r="K11" s="235" t="s">
        <v>217</v>
      </c>
      <c r="L11" s="128">
        <f>IF(E8=BV5,L10,0)</f>
        <v>0</v>
      </c>
      <c r="M11" s="129">
        <f>IF(E8=BV5,1,0)</f>
        <v>0</v>
      </c>
      <c r="N11" s="417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36" t="str">
        <f t="shared" si="2"/>
        <v>направляющая верхняя однополозная</v>
      </c>
      <c r="U11" s="432">
        <f>IF($Z$3=$CE$21,AZ11,IF($Z$3=$CE$27,AZ37,IF($Z$3=$CE$28,AZ50,AZ24)))</f>
        <v>0</v>
      </c>
      <c r="V11" s="432">
        <f t="shared" ref="V11:AF15" si="5">IF($Z$3=$CE$21,BA11,IF($Z$3=$CE$27,BA37,IF($Z$3=$CE$28,BA50,BA24)))</f>
        <v>0</v>
      </c>
      <c r="W11" s="432">
        <f t="shared" si="5"/>
        <v>0</v>
      </c>
      <c r="X11" s="432">
        <f t="shared" si="5"/>
        <v>0</v>
      </c>
      <c r="Y11" s="432">
        <f t="shared" si="5"/>
        <v>0</v>
      </c>
      <c r="Z11" s="432">
        <f t="shared" si="5"/>
        <v>0</v>
      </c>
      <c r="AA11" s="432">
        <f t="shared" si="5"/>
        <v>0</v>
      </c>
      <c r="AB11" s="432">
        <f t="shared" si="5"/>
        <v>0</v>
      </c>
      <c r="AC11" s="432">
        <f t="shared" si="5"/>
        <v>0</v>
      </c>
      <c r="AD11" s="432">
        <f t="shared" si="5"/>
        <v>0</v>
      </c>
      <c r="AE11" s="432">
        <f t="shared" si="5"/>
        <v>0</v>
      </c>
      <c r="AF11" s="432">
        <f t="shared" si="5"/>
        <v>0</v>
      </c>
      <c r="AG11" s="417">
        <f t="shared" ref="AG11:AG15" si="6">AU11</f>
        <v>0</v>
      </c>
      <c r="AH11" s="433">
        <f>(Z11*0.5+AF11)*BT11</f>
        <v>0</v>
      </c>
      <c r="AI11" s="453">
        <f t="shared" ref="AI11:AI15" si="7">U11*$U$8</f>
        <v>0</v>
      </c>
      <c r="AJ11" s="453">
        <f t="shared" ref="AJ11:AJ15" si="8">V11*$V$8</f>
        <v>0</v>
      </c>
      <c r="AK11" s="453">
        <f t="shared" ref="AK11:AK15" si="9">W11*$W$8</f>
        <v>0</v>
      </c>
      <c r="AL11" s="453">
        <f t="shared" ref="AL11:AL15" si="10">X11*$X$8</f>
        <v>0</v>
      </c>
      <c r="AM11" s="453">
        <f t="shared" ref="AM11:AM15" si="11">Y11*$Y$8</f>
        <v>0</v>
      </c>
      <c r="AN11" s="453">
        <f t="shared" ref="AN11:AN15" si="12">Z11*$Z$8</f>
        <v>0</v>
      </c>
      <c r="AO11" s="453">
        <f t="shared" ref="AO11:AO15" si="13">AA11*$AA$8</f>
        <v>0</v>
      </c>
      <c r="AP11" s="453">
        <f t="shared" ref="AP11:AP15" si="14">AB11*$AB$8</f>
        <v>0</v>
      </c>
      <c r="AQ11" s="453">
        <f t="shared" ref="AQ11:AQ15" si="15">AC11*$AC$8</f>
        <v>0</v>
      </c>
      <c r="AR11" s="453">
        <f t="shared" ref="AR11:AR15" si="16">AD11*$AD$8</f>
        <v>0</v>
      </c>
      <c r="AS11" s="453">
        <f t="shared" ref="AS11:AS15" si="17">AE11*$AE$8</f>
        <v>0</v>
      </c>
      <c r="AT11" s="453">
        <f t="shared" ref="AT11:AT15" si="18">AF11*$AF$8</f>
        <v>0</v>
      </c>
      <c r="AU11" s="453">
        <f t="shared" ref="AU11:AU15" si="19">SUM(AI11:AT11)</f>
        <v>0</v>
      </c>
      <c r="AV11" s="463"/>
      <c r="AW11" s="463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3221.23</v>
      </c>
      <c r="CE11" s="1" t="s">
        <v>461</v>
      </c>
    </row>
    <row r="12" spans="1:83" ht="25.05" customHeight="1" thickBot="1" x14ac:dyDescent="0.35">
      <c r="B12" s="569" t="s">
        <v>172</v>
      </c>
      <c r="C12" s="570"/>
      <c r="D12" s="570"/>
      <c r="E12" s="590">
        <v>540</v>
      </c>
      <c r="F12" s="591"/>
      <c r="G12" s="591"/>
      <c r="H12" s="592"/>
      <c r="J12" s="22" t="s">
        <v>5</v>
      </c>
      <c r="K12" s="238" t="s">
        <v>192</v>
      </c>
      <c r="L12" s="128">
        <f>IF(E8=BV6,L10,0)</f>
        <v>998</v>
      </c>
      <c r="M12" s="129">
        <f>IF(E8=BV6,1,0)</f>
        <v>1</v>
      </c>
      <c r="N12" s="417">
        <f t="shared" si="4"/>
        <v>998</v>
      </c>
      <c r="O12" s="339">
        <f>CEILING((L12*M12)/5000,1)</f>
        <v>1</v>
      </c>
      <c r="P12" s="269"/>
      <c r="Q12" s="269"/>
      <c r="R12" s="260">
        <f t="shared" si="0"/>
        <v>1750.3</v>
      </c>
      <c r="S12" s="255"/>
      <c r="T12" s="436" t="str">
        <f t="shared" si="2"/>
        <v>накладка декоративная</v>
      </c>
      <c r="U12" s="432">
        <f t="shared" ref="U12:U15" si="20">IF($Z$3=$CE$21,AZ12,IF($Z$3=$CE$27,AZ38,IF($Z$3=$CE$28,AZ51,AZ25)))</f>
        <v>0</v>
      </c>
      <c r="V12" s="432">
        <f t="shared" si="5"/>
        <v>0</v>
      </c>
      <c r="W12" s="432">
        <f t="shared" si="5"/>
        <v>0</v>
      </c>
      <c r="X12" s="432">
        <f t="shared" si="5"/>
        <v>0</v>
      </c>
      <c r="Y12" s="432">
        <f t="shared" si="5"/>
        <v>1</v>
      </c>
      <c r="Z12" s="432">
        <f t="shared" si="5"/>
        <v>0</v>
      </c>
      <c r="AA12" s="432">
        <f t="shared" si="5"/>
        <v>0</v>
      </c>
      <c r="AB12" s="432">
        <f t="shared" si="5"/>
        <v>0</v>
      </c>
      <c r="AC12" s="432">
        <f t="shared" si="5"/>
        <v>0</v>
      </c>
      <c r="AD12" s="432">
        <f t="shared" si="5"/>
        <v>0</v>
      </c>
      <c r="AE12" s="432">
        <f t="shared" si="5"/>
        <v>0</v>
      </c>
      <c r="AF12" s="432">
        <f t="shared" si="5"/>
        <v>0</v>
      </c>
      <c r="AG12" s="417">
        <f t="shared" si="6"/>
        <v>2500</v>
      </c>
      <c r="AH12" s="421">
        <f>(Y12*0.5+AE12)*BT12</f>
        <v>875.15</v>
      </c>
      <c r="AI12" s="453">
        <f t="shared" si="7"/>
        <v>0</v>
      </c>
      <c r="AJ12" s="453">
        <f t="shared" si="8"/>
        <v>0</v>
      </c>
      <c r="AK12" s="453">
        <f t="shared" si="9"/>
        <v>0</v>
      </c>
      <c r="AL12" s="453">
        <f t="shared" si="10"/>
        <v>0</v>
      </c>
      <c r="AM12" s="453">
        <f t="shared" si="11"/>
        <v>2500</v>
      </c>
      <c r="AN12" s="453">
        <f t="shared" si="12"/>
        <v>0</v>
      </c>
      <c r="AO12" s="453">
        <f t="shared" si="13"/>
        <v>0</v>
      </c>
      <c r="AP12" s="453">
        <f t="shared" si="14"/>
        <v>0</v>
      </c>
      <c r="AQ12" s="453">
        <f t="shared" si="15"/>
        <v>0</v>
      </c>
      <c r="AR12" s="453">
        <f t="shared" si="16"/>
        <v>0</v>
      </c>
      <c r="AS12" s="453">
        <f t="shared" si="17"/>
        <v>0</v>
      </c>
      <c r="AT12" s="453">
        <f t="shared" si="18"/>
        <v>0</v>
      </c>
      <c r="AU12" s="453">
        <f t="shared" si="19"/>
        <v>2500</v>
      </c>
      <c r="AV12" s="453"/>
      <c r="AW12" s="453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998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1750.3</v>
      </c>
    </row>
    <row r="13" spans="1:83" ht="25.05" customHeight="1" x14ac:dyDescent="0.3">
      <c r="J13" s="22" t="s">
        <v>3</v>
      </c>
      <c r="K13" s="238" t="s">
        <v>259</v>
      </c>
      <c r="L13" s="128">
        <f>K5-78</f>
        <v>411</v>
      </c>
      <c r="M13" s="129">
        <f>IF(E4=0,0,E9*4)</f>
        <v>4</v>
      </c>
      <c r="N13" s="417">
        <f t="shared" si="4"/>
        <v>1644</v>
      </c>
      <c r="O13" s="422">
        <f>BM13+IF(BL13&gt;0,1,0)</f>
        <v>1</v>
      </c>
      <c r="P13" s="269"/>
      <c r="Q13" s="269"/>
      <c r="R13" s="260">
        <f t="shared" si="0"/>
        <v>3020.94</v>
      </c>
      <c r="S13" s="255"/>
      <c r="T13" s="436" t="str">
        <f t="shared" si="2"/>
        <v>рамка верхняя</v>
      </c>
      <c r="U13" s="432">
        <f t="shared" si="20"/>
        <v>0</v>
      </c>
      <c r="V13" s="432">
        <f t="shared" si="5"/>
        <v>0</v>
      </c>
      <c r="W13" s="432">
        <f t="shared" si="5"/>
        <v>0</v>
      </c>
      <c r="X13" s="432">
        <f t="shared" si="5"/>
        <v>1</v>
      </c>
      <c r="Y13" s="432">
        <f t="shared" si="5"/>
        <v>0</v>
      </c>
      <c r="Z13" s="432">
        <f t="shared" si="5"/>
        <v>0</v>
      </c>
      <c r="AA13" s="432">
        <f t="shared" si="5"/>
        <v>0</v>
      </c>
      <c r="AB13" s="432">
        <f t="shared" si="5"/>
        <v>0</v>
      </c>
      <c r="AC13" s="432">
        <f t="shared" si="5"/>
        <v>0</v>
      </c>
      <c r="AD13" s="432">
        <f t="shared" si="5"/>
        <v>0</v>
      </c>
      <c r="AE13" s="432">
        <f t="shared" si="5"/>
        <v>0</v>
      </c>
      <c r="AF13" s="432">
        <f t="shared" si="5"/>
        <v>0</v>
      </c>
      <c r="AG13" s="417">
        <f t="shared" si="6"/>
        <v>2000</v>
      </c>
      <c r="AH13" s="421">
        <f>(U13*0.2+V13*0.25+X13*0.4+Y13*0.5+AA13*0.6+AC13*0.75+AD13*0.8+AE13)*BT13</f>
        <v>1208.376</v>
      </c>
      <c r="AI13" s="453">
        <f t="shared" si="7"/>
        <v>0</v>
      </c>
      <c r="AJ13" s="453">
        <f t="shared" si="8"/>
        <v>0</v>
      </c>
      <c r="AK13" s="453">
        <f t="shared" si="9"/>
        <v>0</v>
      </c>
      <c r="AL13" s="453">
        <f t="shared" si="10"/>
        <v>2000</v>
      </c>
      <c r="AM13" s="453">
        <f t="shared" si="11"/>
        <v>0</v>
      </c>
      <c r="AN13" s="453">
        <f t="shared" si="12"/>
        <v>0</v>
      </c>
      <c r="AO13" s="453">
        <f t="shared" si="13"/>
        <v>0</v>
      </c>
      <c r="AP13" s="453">
        <f t="shared" si="14"/>
        <v>0</v>
      </c>
      <c r="AQ13" s="453">
        <f t="shared" si="15"/>
        <v>0</v>
      </c>
      <c r="AR13" s="453">
        <f t="shared" si="16"/>
        <v>0</v>
      </c>
      <c r="AS13" s="453">
        <f t="shared" si="17"/>
        <v>0</v>
      </c>
      <c r="AT13" s="453">
        <f t="shared" si="18"/>
        <v>0</v>
      </c>
      <c r="AU13" s="453">
        <f t="shared" si="19"/>
        <v>2000</v>
      </c>
      <c r="AV13" s="453"/>
      <c r="AW13" s="453"/>
      <c r="AX13" s="363">
        <v>0.47399999999999998</v>
      </c>
      <c r="AY13" s="3">
        <f>AX13*L13*M13/1000</f>
        <v>0.77925599999999995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1</v>
      </c>
      <c r="BD13" s="143">
        <v>0</v>
      </c>
      <c r="BE13" s="143">
        <v>0</v>
      </c>
      <c r="BF13" s="141">
        <f>IF(AND(BL13&gt;2000,BL13&lt;=3000),1,0)</f>
        <v>0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1644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3020.94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0</v>
      </c>
      <c r="M14" s="129">
        <f>E5*2*E9</f>
        <v>0</v>
      </c>
      <c r="N14" s="417">
        <f>L14*M14</f>
        <v>0</v>
      </c>
      <c r="O14" s="422">
        <f>IF(J14=BY6,BM14+IF(BL14&gt;0,1,0),BP14+IF(BO14&gt;0,1,0))</f>
        <v>0</v>
      </c>
      <c r="P14" s="269"/>
      <c r="Q14" s="269"/>
      <c r="R14" s="285">
        <f t="shared" si="0"/>
        <v>0</v>
      </c>
      <c r="S14" s="255"/>
      <c r="T14" s="436" t="str">
        <f>J14</f>
        <v>рамка средняя 4в1</v>
      </c>
      <c r="U14" s="432">
        <f t="shared" si="20"/>
        <v>0</v>
      </c>
      <c r="V14" s="432">
        <f t="shared" si="5"/>
        <v>0</v>
      </c>
      <c r="W14" s="432">
        <f t="shared" si="5"/>
        <v>0</v>
      </c>
      <c r="X14" s="432">
        <f t="shared" si="5"/>
        <v>0</v>
      </c>
      <c r="Y14" s="432">
        <f t="shared" si="5"/>
        <v>0</v>
      </c>
      <c r="Z14" s="432">
        <f t="shared" si="5"/>
        <v>0</v>
      </c>
      <c r="AA14" s="432">
        <f t="shared" si="5"/>
        <v>0</v>
      </c>
      <c r="AB14" s="432">
        <f t="shared" si="5"/>
        <v>0</v>
      </c>
      <c r="AC14" s="432">
        <f t="shared" si="5"/>
        <v>0</v>
      </c>
      <c r="AD14" s="432">
        <f t="shared" si="5"/>
        <v>0</v>
      </c>
      <c r="AE14" s="432">
        <f t="shared" si="5"/>
        <v>0</v>
      </c>
      <c r="AF14" s="432">
        <f t="shared" si="5"/>
        <v>0</v>
      </c>
      <c r="AG14" s="417">
        <f t="shared" si="6"/>
        <v>0</v>
      </c>
      <c r="AH14" s="424">
        <f>IF($E$6=$BY$5,AW15,AV15)</f>
        <v>0</v>
      </c>
      <c r="AI14" s="453">
        <f t="shared" si="7"/>
        <v>0</v>
      </c>
      <c r="AJ14" s="453">
        <f t="shared" si="8"/>
        <v>0</v>
      </c>
      <c r="AK14" s="453">
        <f t="shared" si="9"/>
        <v>0</v>
      </c>
      <c r="AL14" s="453">
        <f t="shared" si="10"/>
        <v>0</v>
      </c>
      <c r="AM14" s="453">
        <f t="shared" si="11"/>
        <v>0</v>
      </c>
      <c r="AN14" s="453">
        <f t="shared" si="12"/>
        <v>0</v>
      </c>
      <c r="AO14" s="453">
        <f t="shared" si="13"/>
        <v>0</v>
      </c>
      <c r="AP14" s="453">
        <f t="shared" si="14"/>
        <v>0</v>
      </c>
      <c r="AQ14" s="453">
        <f t="shared" si="15"/>
        <v>0</v>
      </c>
      <c r="AR14" s="453">
        <f t="shared" si="16"/>
        <v>0</v>
      </c>
      <c r="AS14" s="453">
        <f t="shared" si="17"/>
        <v>0</v>
      </c>
      <c r="AT14" s="453">
        <f t="shared" si="18"/>
        <v>0</v>
      </c>
      <c r="AU14" s="453">
        <f t="shared" si="19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0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0</v>
      </c>
      <c r="BM14" s="141">
        <f>IF(AND(E6=BY6,E5&lt;&gt;0),INT(M14/INT(BC5/L14)),0)</f>
        <v>0</v>
      </c>
      <c r="BN14" s="141"/>
      <c r="BO14" s="141">
        <f>IF(E5&lt;&gt;0,N14-INT(BC7/L14)*L14*BP14,0)</f>
        <v>0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3539.74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202</v>
      </c>
      <c r="L15" s="128">
        <f>E12</f>
        <v>540</v>
      </c>
      <c r="M15" s="129">
        <f>E9</f>
        <v>1</v>
      </c>
      <c r="N15" s="417">
        <f>L15*M15</f>
        <v>540</v>
      </c>
      <c r="O15" s="422">
        <f>CEILING((L15*M15)/5400,1)</f>
        <v>1</v>
      </c>
      <c r="P15" s="269"/>
      <c r="Q15" s="269"/>
      <c r="R15" s="285">
        <f t="shared" si="0"/>
        <v>1230.78</v>
      </c>
      <c r="S15" s="255"/>
      <c r="T15" s="436" t="str">
        <f>J15</f>
        <v>ручка-рейлинг</v>
      </c>
      <c r="U15" s="432">
        <f t="shared" si="20"/>
        <v>0</v>
      </c>
      <c r="V15" s="432">
        <f t="shared" si="5"/>
        <v>0</v>
      </c>
      <c r="W15" s="432">
        <f t="shared" si="5"/>
        <v>0</v>
      </c>
      <c r="X15" s="432">
        <f t="shared" si="5"/>
        <v>0</v>
      </c>
      <c r="Y15" s="432">
        <f t="shared" si="5"/>
        <v>0</v>
      </c>
      <c r="Z15" s="432">
        <f t="shared" si="5"/>
        <v>1</v>
      </c>
      <c r="AA15" s="432">
        <f t="shared" si="5"/>
        <v>0</v>
      </c>
      <c r="AB15" s="432">
        <f t="shared" si="5"/>
        <v>0</v>
      </c>
      <c r="AC15" s="432">
        <f t="shared" si="5"/>
        <v>0</v>
      </c>
      <c r="AD15" s="432">
        <f t="shared" si="5"/>
        <v>0</v>
      </c>
      <c r="AE15" s="432">
        <f t="shared" si="5"/>
        <v>0</v>
      </c>
      <c r="AF15" s="432">
        <f t="shared" si="5"/>
        <v>0</v>
      </c>
      <c r="AG15" s="417">
        <f t="shared" si="6"/>
        <v>2700</v>
      </c>
      <c r="AH15" s="426">
        <f>(Z15*0.5+AF15)*BT15</f>
        <v>615.39</v>
      </c>
      <c r="AI15" s="453">
        <f t="shared" si="7"/>
        <v>0</v>
      </c>
      <c r="AJ15" s="453">
        <f t="shared" si="8"/>
        <v>0</v>
      </c>
      <c r="AK15" s="453">
        <f t="shared" si="9"/>
        <v>0</v>
      </c>
      <c r="AL15" s="453">
        <f t="shared" si="10"/>
        <v>0</v>
      </c>
      <c r="AM15" s="453">
        <f t="shared" si="11"/>
        <v>0</v>
      </c>
      <c r="AN15" s="453">
        <f t="shared" si="12"/>
        <v>2700</v>
      </c>
      <c r="AO15" s="453">
        <f t="shared" si="13"/>
        <v>0</v>
      </c>
      <c r="AP15" s="453">
        <f t="shared" si="14"/>
        <v>0</v>
      </c>
      <c r="AQ15" s="453">
        <f t="shared" si="15"/>
        <v>0</v>
      </c>
      <c r="AR15" s="453">
        <f t="shared" si="16"/>
        <v>0</v>
      </c>
      <c r="AS15" s="453">
        <f t="shared" si="17"/>
        <v>0</v>
      </c>
      <c r="AT15" s="453">
        <f t="shared" si="18"/>
        <v>0</v>
      </c>
      <c r="AU15" s="453">
        <f t="shared" si="19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540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IFERROR(INDEX(Цены!J:J,MATCH(J15&amp;$E$7,Цены!C:C&amp;Цены!G:G,0)),Цены!J36)</f>
        <v>1230.78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1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21386.219999999998</v>
      </c>
      <c r="S16" s="274"/>
      <c r="T16" s="318"/>
      <c r="U16" s="525" t="s">
        <v>103</v>
      </c>
      <c r="V16" s="525"/>
      <c r="W16" s="525"/>
      <c r="X16" s="525"/>
      <c r="Y16" s="525"/>
      <c r="Z16" s="525"/>
      <c r="AA16" s="525"/>
      <c r="AB16" s="525"/>
      <c r="AC16" s="525"/>
      <c r="AD16" s="525"/>
      <c r="AE16" s="525"/>
      <c r="AF16" s="525"/>
      <c r="AG16" s="526"/>
      <c r="AH16" s="134">
        <f>SUM(AH9:AH15)</f>
        <v>15394.225999999999</v>
      </c>
      <c r="AI16" s="464"/>
      <c r="AJ16" s="464"/>
      <c r="AK16" s="464"/>
      <c r="AL16" s="464"/>
      <c r="AM16" s="464"/>
      <c r="AN16" s="464"/>
      <c r="AO16" s="464"/>
      <c r="AP16" s="464"/>
      <c r="AQ16" s="464"/>
      <c r="AR16" s="464"/>
      <c r="AS16" s="464"/>
      <c r="AT16" s="464"/>
      <c r="AU16" s="464"/>
      <c r="AV16" s="464"/>
      <c r="AW16" s="464"/>
      <c r="AX16" s="367">
        <v>0.16900000000000001</v>
      </c>
      <c r="AY16" s="3">
        <f>AX16*L15*M15/1000</f>
        <v>9.1260000000000008E-2</v>
      </c>
      <c r="BL16" s="544" t="s">
        <v>526</v>
      </c>
      <c r="BM16" s="544"/>
      <c r="BN16" s="4"/>
      <c r="BO16" s="543" t="s">
        <v>450</v>
      </c>
      <c r="BP16" s="543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7.833996</v>
      </c>
      <c r="AZ17" s="438"/>
      <c r="BA17" s="54" t="s">
        <v>522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566" t="s">
        <v>102</v>
      </c>
      <c r="AD18" s="566"/>
      <c r="AE18" s="566"/>
      <c r="AF18" s="566"/>
      <c r="AG18" s="566"/>
      <c r="AH18" s="263">
        <f>AH16+H25+R39</f>
        <v>20114.895999999997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7.833996</v>
      </c>
      <c r="AZ18" s="439"/>
      <c r="BA18" s="3" t="s">
        <v>523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431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2476</v>
      </c>
      <c r="F20" s="73">
        <f>IF(C20=$BV$15,$K$5-63,IF(C20=$BV$14,$K$5-62,$K$5-60))</f>
        <v>426</v>
      </c>
      <c r="G20" s="74">
        <f>$E$9*2</f>
        <v>2</v>
      </c>
      <c r="H20" s="75">
        <f>E20*F20*D20*G20/1000000</f>
        <v>0</v>
      </c>
      <c r="J20" s="576" t="s">
        <v>181</v>
      </c>
      <c r="K20" s="487"/>
      <c r="L20" s="487"/>
      <c r="M20" s="416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51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/>
      <c r="AU20" s="451"/>
      <c r="AV20" s="451"/>
      <c r="AW20" s="451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429</v>
      </c>
      <c r="G21" s="74">
        <f>IF(E21&lt;&gt;0,$E$9*2,0)</f>
        <v>0</v>
      </c>
      <c r="H21" s="75">
        <f t="shared" ref="H21:H24" si="21">E21*F21*D21*G21/1000000</f>
        <v>0</v>
      </c>
      <c r="J21" s="481" t="s">
        <v>0</v>
      </c>
      <c r="K21" s="482"/>
      <c r="L21" s="482"/>
      <c r="M21" s="482"/>
      <c r="N21" s="412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5"/>
      <c r="AH21" s="303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425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429</v>
      </c>
      <c r="G22" s="74">
        <f>IF(E22&lt;&gt;0,$E$9*2,0)</f>
        <v>0</v>
      </c>
      <c r="H22" s="75">
        <f t="shared" si="21"/>
        <v>0</v>
      </c>
      <c r="J22" s="523" t="s">
        <v>66</v>
      </c>
      <c r="K22" s="524"/>
      <c r="L22" s="524"/>
      <c r="M22" s="524"/>
      <c r="N22" s="236" t="s">
        <v>211</v>
      </c>
      <c r="O22" s="232">
        <f>E9</f>
        <v>1</v>
      </c>
      <c r="P22" s="251"/>
      <c r="Q22" s="251"/>
      <c r="R22" s="262">
        <f>O22*Цены!J150</f>
        <v>656.66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63"/>
      <c r="AJ22" s="463"/>
      <c r="AK22" s="463"/>
      <c r="AL22" s="463"/>
      <c r="AM22" s="463"/>
      <c r="AN22" s="463"/>
      <c r="AO22" s="463"/>
      <c r="AP22" s="463"/>
      <c r="AQ22" s="463"/>
      <c r="AR22" s="463"/>
      <c r="AS22" s="463"/>
      <c r="AT22" s="463"/>
      <c r="AU22" s="463"/>
      <c r="AV22" s="463"/>
      <c r="AW22" s="463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430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426</v>
      </c>
      <c r="G23" s="74">
        <f>IF(E23&lt;&gt;0,$E$9*2,0)</f>
        <v>0</v>
      </c>
      <c r="H23" s="75">
        <f t="shared" si="21"/>
        <v>0</v>
      </c>
      <c r="J23" s="523" t="s">
        <v>58</v>
      </c>
      <c r="K23" s="524"/>
      <c r="L23" s="524"/>
      <c r="M23" s="524"/>
      <c r="N23" s="236" t="s">
        <v>212</v>
      </c>
      <c r="O23" s="232">
        <f>E9</f>
        <v>1</v>
      </c>
      <c r="P23" s="251"/>
      <c r="Q23" s="251"/>
      <c r="R23" s="262">
        <f>O23*Цены!J136</f>
        <v>628.48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44"/>
      <c r="AH23" s="442"/>
      <c r="AI23" s="453"/>
      <c r="AJ23" s="453"/>
      <c r="AK23" s="453"/>
      <c r="AL23" s="453"/>
      <c r="AM23" s="453"/>
      <c r="AN23" s="453"/>
      <c r="AO23" s="453"/>
      <c r="AP23" s="453"/>
      <c r="AQ23" s="453"/>
      <c r="AR23" s="453"/>
      <c r="AS23" s="453"/>
      <c r="AT23" s="453"/>
      <c r="AU23" s="453"/>
      <c r="AV23" s="453"/>
      <c r="AW23" s="453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998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427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426</v>
      </c>
      <c r="G24" s="74">
        <f>IF(E24&lt;&gt;0,$E$9*2,0)</f>
        <v>0</v>
      </c>
      <c r="H24" s="75">
        <f t="shared" si="21"/>
        <v>0</v>
      </c>
      <c r="J24" s="523" t="s">
        <v>88</v>
      </c>
      <c r="K24" s="524"/>
      <c r="L24" s="524"/>
      <c r="M24" s="524"/>
      <c r="N24" s="236" t="s">
        <v>213</v>
      </c>
      <c r="O24" s="232">
        <f>IF(AND(E9=BV9,E10=BV19),1,IF(E9=BV10,1,0))</f>
        <v>0</v>
      </c>
      <c r="P24" s="251"/>
      <c r="Q24" s="251"/>
      <c r="R24" s="262">
        <f>O24*Цены!J137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44"/>
      <c r="AH24" s="274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428</v>
      </c>
    </row>
    <row r="25" spans="2:83" ht="25.05" customHeight="1" thickBot="1" x14ac:dyDescent="0.35">
      <c r="B25" s="66"/>
      <c r="C25" s="99"/>
      <c r="D25" s="67"/>
      <c r="E25" s="521" t="s">
        <v>79</v>
      </c>
      <c r="F25" s="521"/>
      <c r="G25" s="522"/>
      <c r="H25" s="323">
        <f>SUM(H20:H24)</f>
        <v>0</v>
      </c>
      <c r="I25" s="54"/>
      <c r="J25" s="523" t="s">
        <v>87</v>
      </c>
      <c r="K25" s="524"/>
      <c r="L25" s="524"/>
      <c r="M25" s="524"/>
      <c r="N25" s="236" t="s">
        <v>214</v>
      </c>
      <c r="O25" s="232">
        <f>IF(AND(E9=BV9,E10=BV18),1,IF(E9=BV10,1,0))</f>
        <v>1</v>
      </c>
      <c r="P25" s="251"/>
      <c r="Q25" s="251"/>
      <c r="R25" s="262">
        <f>O25*Цены!J137</f>
        <v>427.8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44"/>
      <c r="AH25" s="442"/>
      <c r="AI25" s="453"/>
      <c r="AJ25" s="453"/>
      <c r="AK25" s="453"/>
      <c r="AL25" s="453"/>
      <c r="AM25" s="453"/>
      <c r="AN25" s="453"/>
      <c r="AO25" s="453"/>
      <c r="AP25" s="453"/>
      <c r="AQ25" s="453"/>
      <c r="AR25" s="453"/>
      <c r="AS25" s="453"/>
      <c r="AT25" s="453"/>
      <c r="AU25" s="453"/>
      <c r="AV25" s="453"/>
      <c r="AW25" s="453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998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429</v>
      </c>
    </row>
    <row r="26" spans="2:83" ht="25.05" customHeight="1" x14ac:dyDescent="0.3">
      <c r="B26" s="66"/>
      <c r="C26" s="573" t="str">
        <f>IF((SUM(BX20:BX24)/C16)&lt;&gt;1,BV39,BV40)</f>
        <v>Верно внесены высоты вставок</v>
      </c>
      <c r="D26" s="573"/>
      <c r="E26" s="329">
        <f>IF(C26=BV40,1,0)</f>
        <v>1</v>
      </c>
      <c r="F26" s="329"/>
      <c r="G26" s="329"/>
      <c r="H26" s="68"/>
      <c r="I26" s="54"/>
      <c r="J26" s="523" t="s">
        <v>60</v>
      </c>
      <c r="K26" s="524"/>
      <c r="L26" s="524"/>
      <c r="M26" s="524"/>
      <c r="N26" s="236" t="s">
        <v>215</v>
      </c>
      <c r="O26" s="232">
        <f>E9*2</f>
        <v>2</v>
      </c>
      <c r="P26" s="251"/>
      <c r="Q26" s="251"/>
      <c r="R26" s="262">
        <f>O26*Цены!J143</f>
        <v>992.94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44"/>
      <c r="AH26" s="442"/>
      <c r="AI26" s="453"/>
      <c r="AJ26" s="453"/>
      <c r="AK26" s="453"/>
      <c r="AL26" s="453"/>
      <c r="AM26" s="453"/>
      <c r="AN26" s="453"/>
      <c r="AO26" s="453"/>
      <c r="AP26" s="453"/>
      <c r="AQ26" s="453"/>
      <c r="AR26" s="453"/>
      <c r="AS26" s="453"/>
      <c r="AT26" s="453"/>
      <c r="AU26" s="453"/>
      <c r="AV26" s="453"/>
      <c r="AW26" s="453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1644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426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23" t="s">
        <v>71</v>
      </c>
      <c r="K27" s="524"/>
      <c r="L27" s="524"/>
      <c r="M27" s="524"/>
      <c r="N27" s="236" t="s">
        <v>204</v>
      </c>
      <c r="O27" s="284">
        <f>E9</f>
        <v>1</v>
      </c>
      <c r="P27" s="270"/>
      <c r="Q27" s="270"/>
      <c r="R27" s="287">
        <f>O27*Цены!J156</f>
        <v>207.06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44"/>
      <c r="AH27" s="442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3"/>
      <c r="AT27" s="453"/>
      <c r="AU27" s="453"/>
      <c r="AV27" s="453"/>
      <c r="AW27" s="453"/>
      <c r="AX27" s="6"/>
      <c r="AZ27" s="143">
        <v>0</v>
      </c>
      <c r="BA27" s="190">
        <f>IF(AND(J14=BY6,BL27&gt;0,BL27&lt;=1250),1,0)</f>
        <v>0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0</v>
      </c>
      <c r="BM27" s="185">
        <f>BM14</f>
        <v>0</v>
      </c>
      <c r="BN27" s="141"/>
      <c r="BO27" s="141">
        <f>BO14</f>
        <v>0</v>
      </c>
      <c r="BP27" s="141">
        <f>BP14</f>
        <v>0</v>
      </c>
      <c r="BQ27" s="188"/>
      <c r="BR27" s="188"/>
      <c r="BS27" s="144"/>
      <c r="BT27" s="144"/>
      <c r="CE27" s="1" t="s">
        <v>527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23" t="s">
        <v>40</v>
      </c>
      <c r="K28" s="524"/>
      <c r="L28" s="524"/>
      <c r="M28" s="524"/>
      <c r="N28" s="236" t="s">
        <v>207</v>
      </c>
      <c r="O28" s="231">
        <f>IF(E12&lt;500,2*E9,E9*ROUNDDOWN(E12/500+1,0))</f>
        <v>2</v>
      </c>
      <c r="P28" s="250"/>
      <c r="Q28" s="250"/>
      <c r="R28" s="287">
        <f>O28*Цены!J100</f>
        <v>783.62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44"/>
      <c r="AH28" s="442"/>
      <c r="AI28" s="453"/>
      <c r="AJ28" s="453"/>
      <c r="AK28" s="453"/>
      <c r="AL28" s="453"/>
      <c r="AM28" s="453"/>
      <c r="AN28" s="453"/>
      <c r="AO28" s="453"/>
      <c r="AP28" s="453"/>
      <c r="AQ28" s="453"/>
      <c r="AR28" s="453"/>
      <c r="AS28" s="453"/>
      <c r="AT28" s="453"/>
      <c r="AU28" s="453"/>
      <c r="AV28" s="453"/>
      <c r="AW28" s="453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540</v>
      </c>
      <c r="BP28" s="141">
        <f>BP15</f>
        <v>0</v>
      </c>
      <c r="BQ28" s="185"/>
      <c r="BR28" s="185"/>
      <c r="BS28" s="5"/>
      <c r="BT28" s="5"/>
      <c r="CE28" s="1" t="s">
        <v>525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23" t="s">
        <v>44</v>
      </c>
      <c r="K29" s="524"/>
      <c r="L29" s="524"/>
      <c r="M29" s="524"/>
      <c r="N29" s="236" t="s">
        <v>208</v>
      </c>
      <c r="O29" s="284">
        <f>E9</f>
        <v>1</v>
      </c>
      <c r="P29" s="270"/>
      <c r="Q29" s="270"/>
      <c r="R29" s="287">
        <f>O29*Цены!J104</f>
        <v>81.8</v>
      </c>
      <c r="S29" s="273"/>
      <c r="T29" s="310"/>
      <c r="U29" s="447"/>
      <c r="V29" s="447"/>
      <c r="W29" s="447"/>
      <c r="X29" s="447"/>
      <c r="Y29" s="447"/>
      <c r="Z29" s="447"/>
      <c r="AA29" s="447"/>
      <c r="AB29" s="447"/>
      <c r="AC29" s="447"/>
      <c r="AD29" s="447"/>
      <c r="AE29" s="447"/>
      <c r="AF29" s="447"/>
      <c r="AG29" s="447"/>
      <c r="AH29" s="278"/>
      <c r="AI29" s="464"/>
      <c r="AJ29" s="464"/>
      <c r="AK29" s="464"/>
      <c r="AL29" s="464"/>
      <c r="AM29" s="464"/>
      <c r="AN29" s="464"/>
      <c r="AO29" s="464"/>
      <c r="AP29" s="464"/>
      <c r="AQ29" s="464"/>
      <c r="AR29" s="464"/>
      <c r="AS29" s="464"/>
      <c r="AT29" s="464"/>
      <c r="AU29" s="464"/>
      <c r="AV29" s="464"/>
      <c r="AW29" s="464"/>
    </row>
    <row r="30" spans="2:83" ht="25.05" customHeight="1" x14ac:dyDescent="0.3">
      <c r="B30" s="66"/>
      <c r="C30" s="574" t="str">
        <f>IF(AND(SUM(BX20:BX24)/C16=1,E24=0,C16&lt;&gt;1),BV43,BV44)</f>
        <v xml:space="preserve"> </v>
      </c>
      <c r="D30" s="574"/>
      <c r="E30" s="85"/>
      <c r="F30" s="85"/>
      <c r="G30" s="6"/>
      <c r="H30" s="68"/>
      <c r="I30" s="54"/>
      <c r="J30" s="523" t="s">
        <v>228</v>
      </c>
      <c r="K30" s="524"/>
      <c r="L30" s="524"/>
      <c r="M30" s="524"/>
      <c r="N30" s="236" t="s">
        <v>195</v>
      </c>
      <c r="O30" s="231">
        <f>(M13+M14)*2-O31</f>
        <v>6</v>
      </c>
      <c r="P30" s="250"/>
      <c r="Q30" s="250"/>
      <c r="R30" s="287">
        <f>O30*Цены!J184</f>
        <v>54.72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23" t="s">
        <v>229</v>
      </c>
      <c r="K31" s="524"/>
      <c r="L31" s="524"/>
      <c r="M31" s="524"/>
      <c r="N31" s="236" t="s">
        <v>216</v>
      </c>
      <c r="O31" s="339">
        <f>E9*2</f>
        <v>2</v>
      </c>
      <c r="P31" s="249"/>
      <c r="Q31" s="249"/>
      <c r="R31" s="423">
        <f>O31*Цены!J155</f>
        <v>14.62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23" t="s">
        <v>82</v>
      </c>
      <c r="K32" s="524"/>
      <c r="L32" s="524"/>
      <c r="M32" s="524"/>
      <c r="N32" s="236" t="s">
        <v>262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O32*Цены!J177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524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23" t="s">
        <v>84</v>
      </c>
      <c r="K33" s="524"/>
      <c r="L33" s="524"/>
      <c r="M33" s="524"/>
      <c r="N33" s="236" t="s">
        <v>196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O33*Цены!J178</f>
        <v>466.91999999999996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43"/>
      <c r="AJ33" s="443"/>
      <c r="AK33" s="443"/>
      <c r="AL33" s="443"/>
      <c r="AM33" s="443"/>
      <c r="AN33" s="443"/>
      <c r="AO33" s="443"/>
      <c r="AP33" s="443"/>
      <c r="AQ33" s="443"/>
      <c r="AR33" s="443"/>
      <c r="AS33" s="443"/>
      <c r="AT33" s="443"/>
      <c r="AU33" s="443"/>
      <c r="AV33" s="443"/>
      <c r="AW33" s="443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23" t="s">
        <v>56</v>
      </c>
      <c r="K34" s="524"/>
      <c r="L34" s="524"/>
      <c r="M34" s="524"/>
      <c r="N34" s="127" t="s">
        <v>198</v>
      </c>
      <c r="O34" s="422">
        <f>IF(K5&gt;0,M13+M14,0)</f>
        <v>4</v>
      </c>
      <c r="P34" s="249"/>
      <c r="Q34" s="249"/>
      <c r="R34" s="286">
        <f>O34*Цены!J132</f>
        <v>49.36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23" t="s">
        <v>76</v>
      </c>
      <c r="K35" s="524"/>
      <c r="L35" s="524"/>
      <c r="M35" s="524"/>
      <c r="N35" s="236" t="s">
        <v>199</v>
      </c>
      <c r="O35" s="234">
        <f>IF(E11=BV50,ROUNDUP(K4*2/1000,0),0)+IF(AND(E9=BV10,E11=BV50),ROUNDUP(K4*2/1000,0),0)</f>
        <v>0</v>
      </c>
      <c r="P35" s="253"/>
      <c r="Q35" s="253"/>
      <c r="R35" s="286">
        <f>O35*Цены!J161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473" t="s">
        <v>129</v>
      </c>
      <c r="K36" s="474"/>
      <c r="L36" s="474"/>
      <c r="M36" s="474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IF(N36=AY62,O36*Цены!J180,O36*Цены!K165)</f>
        <v>176.28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998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473" t="s">
        <v>161</v>
      </c>
      <c r="K37" s="474"/>
      <c r="L37" s="474"/>
      <c r="M37" s="474"/>
      <c r="N37" s="294" t="s">
        <v>201</v>
      </c>
      <c r="O37" s="232">
        <f>M9</f>
        <v>4</v>
      </c>
      <c r="P37" s="251"/>
      <c r="Q37" s="251"/>
      <c r="R37" s="262">
        <f>O37*Цены!J176</f>
        <v>63.04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271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578" t="s">
        <v>74</v>
      </c>
      <c r="K38" s="579"/>
      <c r="L38" s="579"/>
      <c r="M38" s="579"/>
      <c r="N38" s="465" t="s">
        <v>233</v>
      </c>
      <c r="O38" s="435">
        <f>E9</f>
        <v>1</v>
      </c>
      <c r="P38" s="249"/>
      <c r="Q38" s="249"/>
      <c r="R38" s="434">
        <f>O38*Цены!J158</f>
        <v>117.37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11.602535999999999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998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4720.6699999999992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1644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268</v>
      </c>
      <c r="H40" s="148">
        <f>ROUNDUP((AY18+AY43)*1.1,0)</f>
        <v>35</v>
      </c>
      <c r="J40" s="6"/>
      <c r="K40" s="6"/>
      <c r="L40" s="6"/>
      <c r="M40" s="6"/>
      <c r="N40" s="6"/>
      <c r="O40" s="6"/>
      <c r="Q40" s="577" t="s">
        <v>432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0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0</v>
      </c>
      <c r="BM40" s="185">
        <f>BM27</f>
        <v>0</v>
      </c>
      <c r="BN40" s="141"/>
      <c r="BO40" s="141">
        <f>BO27</f>
        <v>0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45" t="s">
        <v>528</v>
      </c>
      <c r="M41" s="545"/>
      <c r="N41" s="545"/>
      <c r="O41" s="545"/>
      <c r="Q41" s="577"/>
      <c r="R41" s="282">
        <f>R16+R39+H25</f>
        <v>26106.889999999996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540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416"/>
      <c r="AJ42" s="416"/>
      <c r="AK42" s="416"/>
      <c r="AL42" s="416"/>
      <c r="AM42" s="416"/>
      <c r="AN42" s="416"/>
      <c r="AO42" s="416"/>
      <c r="AP42" s="416"/>
      <c r="AQ42" s="416"/>
      <c r="AR42" s="416"/>
      <c r="AS42" s="416"/>
      <c r="AT42" s="416"/>
      <c r="AU42" s="416"/>
      <c r="AV42" s="416"/>
      <c r="AW42" s="416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23.205071999999998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525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Подвесная!BV50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Подвесная!BV51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Подвесная!BV52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998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Подвесная!BV53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Подвесная!BV54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998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Подвесная!BV55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1644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Подвесная!BV56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0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0</v>
      </c>
      <c r="BM53" s="185">
        <f>BM40</f>
        <v>0</v>
      </c>
      <c r="BN53" s="141"/>
      <c r="BO53" s="141">
        <f>BO40</f>
        <v>0</v>
      </c>
      <c r="BP53" s="141">
        <f>BP40</f>
        <v>0</v>
      </c>
      <c r="BQ53" s="188"/>
      <c r="BR53" s="188"/>
      <c r="BS53" s="38"/>
      <c r="BT53" s="38"/>
      <c r="BU53" s="38"/>
      <c r="BV53" s="1" t="s">
        <v>178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Подвесная!BV57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540</v>
      </c>
      <c r="BP54" s="141">
        <f>BP41</f>
        <v>0</v>
      </c>
      <c r="BQ54" s="185"/>
      <c r="BR54" s="185"/>
      <c r="BS54" s="38"/>
      <c r="BT54" s="38"/>
      <c r="BU54" s="38"/>
      <c r="BV54" s="1" t="s">
        <v>175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Подвесная!BV58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575"/>
      <c r="K56" s="575"/>
      <c r="L56" s="575"/>
      <c r="M56" s="575"/>
      <c r="N56" s="575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Подвесная!BV59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Подвесная!BV60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Подвесная!BV61</f>
        <v>жемчуг серый*</v>
      </c>
      <c r="BA58" s="184"/>
      <c r="BV58" s="1" t="s">
        <v>179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Подвесная!BV62</f>
        <v>жемчуг розовый*</v>
      </c>
      <c r="BA59" s="184"/>
      <c r="BV59" s="1" t="s">
        <v>175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200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247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E7">
    <cfRule type="cellIs" dxfId="94" priority="94" operator="greaterThan">
      <formula>0</formula>
    </cfRule>
  </conditionalFormatting>
  <conditionalFormatting sqref="E11">
    <cfRule type="cellIs" dxfId="93" priority="65" operator="greaterThan">
      <formula>0</formula>
    </cfRule>
  </conditionalFormatting>
  <conditionalFormatting sqref="E12">
    <cfRule type="cellIs" dxfId="92" priority="61" operator="greaterThan">
      <formula>0</formula>
    </cfRule>
  </conditionalFormatting>
  <conditionalFormatting sqref="K4">
    <cfRule type="expression" dxfId="91" priority="111">
      <formula>$K$4&gt;3200</formula>
    </cfRule>
  </conditionalFormatting>
  <conditionalFormatting sqref="E6">
    <cfRule type="cellIs" dxfId="90" priority="36" operator="greaterThan">
      <formula>0</formula>
    </cfRule>
  </conditionalFormatting>
  <conditionalFormatting sqref="E10">
    <cfRule type="expression" dxfId="89" priority="417">
      <formula>$E$9=$BV$10</formula>
    </cfRule>
  </conditionalFormatting>
  <conditionalFormatting sqref="U9:AF15">
    <cfRule type="cellIs" dxfId="88" priority="77" operator="equal">
      <formula>0</formula>
    </cfRule>
  </conditionalFormatting>
  <conditionalFormatting sqref="H40">
    <cfRule type="expression" dxfId="87" priority="30">
      <formula>$H$40&gt;40</formula>
    </cfRule>
  </conditionalFormatting>
  <conditionalFormatting sqref="O37:Q37 S37:T37">
    <cfRule type="expression" dxfId="86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85" priority="548">
      <formula>$E$4=0</formula>
    </cfRule>
  </conditionalFormatting>
  <conditionalFormatting sqref="AH18 R41 AS33:AW33">
    <cfRule type="expression" dxfId="84" priority="562">
      <formula>$E$4=0</formula>
    </cfRule>
  </conditionalFormatting>
  <conditionalFormatting sqref="K5">
    <cfRule type="expression" dxfId="83" priority="564">
      <formula>AND(OR($K$5&lt;300,$K$5&gt;600),$E$4&gt;0)</formula>
    </cfRule>
  </conditionalFormatting>
  <conditionalFormatting sqref="C26">
    <cfRule type="expression" dxfId="82" priority="566">
      <formula>$C$26=$BV$40</formula>
    </cfRule>
  </conditionalFormatting>
  <conditionalFormatting sqref="C26:D26">
    <cfRule type="expression" dxfId="81" priority="567">
      <formula>$C$26=$BV$39</formula>
    </cfRule>
  </conditionalFormatting>
  <conditionalFormatting sqref="C30">
    <cfRule type="expression" dxfId="80" priority="569">
      <formula>$C$30=$BV$43</formula>
    </cfRule>
  </conditionalFormatting>
  <conditionalFormatting sqref="AB3:AC3">
    <cfRule type="expression" dxfId="79" priority="934">
      <formula>$CC$19=FALSE</formula>
    </cfRule>
  </conditionalFormatting>
  <conditionalFormatting sqref="O14">
    <cfRule type="expression" dxfId="78" priority="24">
      <formula>$E$4=0</formula>
    </cfRule>
  </conditionalFormatting>
  <conditionalFormatting sqref="O13">
    <cfRule type="expression" dxfId="77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76" priority="22">
      <formula>$N$3=$CE$9</formula>
    </cfRule>
  </conditionalFormatting>
  <conditionalFormatting sqref="T1:AW2 T3 V3:W3 Z3:AW3 T4:AW9 T16:AW16 AV10:AW13 T10:AH15 T31:AW32 T34:AW41 T33:AB33 AI33:AW33 T18:AW19">
    <cfRule type="expression" dxfId="75" priority="20">
      <formula>$N$3=$CE$10</formula>
    </cfRule>
  </conditionalFormatting>
  <conditionalFormatting sqref="R41">
    <cfRule type="expression" dxfId="74" priority="18">
      <formula>$N$3=$CE$11</formula>
    </cfRule>
  </conditionalFormatting>
  <conditionalFormatting sqref="AI16 AI9 AO9:AR9 AO16:AR16">
    <cfRule type="expression" dxfId="73" priority="14">
      <formula>$E$4=0</formula>
    </cfRule>
  </conditionalFormatting>
  <conditionalFormatting sqref="AI33 AO33:AR33">
    <cfRule type="expression" dxfId="72" priority="15">
      <formula>$E$4=0</formula>
    </cfRule>
  </conditionalFormatting>
  <conditionalFormatting sqref="AM16:AN16 AM9:AN9">
    <cfRule type="expression" dxfId="71" priority="10">
      <formula>$E$4=0</formula>
    </cfRule>
  </conditionalFormatting>
  <conditionalFormatting sqref="AM33:AN33">
    <cfRule type="expression" dxfId="70" priority="11">
      <formula>$E$4=0</formula>
    </cfRule>
  </conditionalFormatting>
  <conditionalFormatting sqref="AJ9:AL9 AJ16:AL16">
    <cfRule type="expression" dxfId="69" priority="6">
      <formula>$E$4=0</formula>
    </cfRule>
  </conditionalFormatting>
  <conditionalFormatting sqref="AJ33:AL33">
    <cfRule type="expression" dxfId="68" priority="7">
      <formula>$E$4=0</formula>
    </cfRule>
  </conditionalFormatting>
  <conditionalFormatting sqref="E8">
    <cfRule type="expression" dxfId="67" priority="1052">
      <formula>AND($E$8=$BV$5,$E$7=$AY$48)</formula>
    </cfRule>
  </conditionalFormatting>
  <conditionalFormatting sqref="AI10:AU15">
    <cfRule type="expression" dxfId="66" priority="3">
      <formula>$E$4=0</formula>
    </cfRule>
  </conditionalFormatting>
  <conditionalFormatting sqref="AW15">
    <cfRule type="expression" dxfId="65" priority="2">
      <formula>$E$4=0</formula>
    </cfRule>
  </conditionalFormatting>
  <conditionalFormatting sqref="AV15">
    <cfRule type="expression" dxfId="64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topLeftCell="A19"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480" t="s">
        <v>104</v>
      </c>
      <c r="C1" s="480"/>
      <c r="D1" s="480"/>
      <c r="E1" s="480"/>
      <c r="F1" s="480"/>
      <c r="G1" s="480"/>
      <c r="H1" s="480"/>
      <c r="I1" s="149"/>
      <c r="J1" s="480" t="s">
        <v>105</v>
      </c>
      <c r="K1" s="480"/>
      <c r="L1" s="480"/>
      <c r="M1" s="480"/>
      <c r="N1" s="480"/>
      <c r="O1" s="480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02" t="s">
        <v>121</v>
      </c>
      <c r="C3" s="503"/>
      <c r="D3" s="503"/>
      <c r="E3" s="510">
        <v>2600</v>
      </c>
      <c r="F3" s="510"/>
      <c r="G3" s="510"/>
      <c r="H3" s="511"/>
      <c r="J3" s="485" t="s">
        <v>270</v>
      </c>
      <c r="K3" s="486"/>
      <c r="L3" s="5"/>
      <c r="M3" s="5"/>
      <c r="N3" s="437"/>
      <c r="O3" s="437"/>
      <c r="R3" s="3"/>
      <c r="S3" s="3"/>
      <c r="T3" s="3"/>
      <c r="V3" s="366"/>
      <c r="W3" s="593" t="s">
        <v>424</v>
      </c>
      <c r="X3" s="593"/>
      <c r="Y3" s="593"/>
      <c r="Z3" s="534" t="s">
        <v>425</v>
      </c>
      <c r="AA3" s="534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425</v>
      </c>
      <c r="BV3" s="106"/>
    </row>
    <row r="4" spans="1:83" ht="25.05" customHeight="1" x14ac:dyDescent="0.3">
      <c r="B4" s="504" t="s">
        <v>120</v>
      </c>
      <c r="C4" s="505"/>
      <c r="D4" s="505"/>
      <c r="E4" s="512">
        <v>1000</v>
      </c>
      <c r="F4" s="512"/>
      <c r="G4" s="512"/>
      <c r="H4" s="513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41" t="s">
        <v>460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458</v>
      </c>
      <c r="BZ4" s="1" t="s">
        <v>244</v>
      </c>
      <c r="CA4" s="2">
        <f>IF(E6=BY4,9,8)</f>
        <v>8</v>
      </c>
    </row>
    <row r="5" spans="1:83" ht="25.05" customHeight="1" thickBot="1" x14ac:dyDescent="0.35">
      <c r="B5" s="504" t="s">
        <v>449</v>
      </c>
      <c r="C5" s="505"/>
      <c r="D5" s="505"/>
      <c r="E5" s="488">
        <v>0</v>
      </c>
      <c r="F5" s="488"/>
      <c r="G5" s="488"/>
      <c r="H5" s="489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42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459</v>
      </c>
      <c r="BZ5" s="1" t="s">
        <v>260</v>
      </c>
      <c r="CA5" s="105"/>
    </row>
    <row r="6" spans="1:83" ht="25.05" customHeight="1" thickBot="1" x14ac:dyDescent="0.35">
      <c r="B6" s="504" t="s">
        <v>243</v>
      </c>
      <c r="C6" s="505"/>
      <c r="D6" s="505"/>
      <c r="E6" s="488" t="s">
        <v>459</v>
      </c>
      <c r="F6" s="488"/>
      <c r="G6" s="488"/>
      <c r="H6" s="489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04" t="s">
        <v>122</v>
      </c>
      <c r="C7" s="505"/>
      <c r="D7" s="505"/>
      <c r="E7" s="488" t="s">
        <v>234</v>
      </c>
      <c r="F7" s="488"/>
      <c r="G7" s="488"/>
      <c r="H7" s="489"/>
      <c r="J7" s="571" t="s">
        <v>182</v>
      </c>
      <c r="K7" s="572"/>
      <c r="L7" s="572"/>
      <c r="M7" s="572"/>
      <c r="N7" s="428"/>
      <c r="O7" s="135"/>
      <c r="P7" s="324"/>
      <c r="Q7" s="324"/>
      <c r="R7" s="258"/>
      <c r="S7" s="194"/>
      <c r="T7" s="358"/>
      <c r="U7" s="602" t="s">
        <v>100</v>
      </c>
      <c r="V7" s="602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8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04" t="s">
        <v>241</v>
      </c>
      <c r="C8" s="505"/>
      <c r="D8" s="505"/>
      <c r="E8" s="488" t="s">
        <v>240</v>
      </c>
      <c r="F8" s="488"/>
      <c r="G8" s="488"/>
      <c r="H8" s="489"/>
      <c r="J8" s="411" t="s">
        <v>0</v>
      </c>
      <c r="K8" s="412" t="s">
        <v>1</v>
      </c>
      <c r="L8" s="412" t="s">
        <v>7</v>
      </c>
      <c r="M8" s="412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06" t="s">
        <v>124</v>
      </c>
      <c r="C9" s="507"/>
      <c r="D9" s="507"/>
      <c r="E9" s="603">
        <v>2</v>
      </c>
      <c r="F9" s="603"/>
      <c r="G9" s="603"/>
      <c r="H9" s="604"/>
      <c r="J9" s="431" t="s">
        <v>2</v>
      </c>
      <c r="K9" s="238" t="s">
        <v>190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10006.42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33">
        <f>R9</f>
        <v>10006.42</v>
      </c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5003.21</v>
      </c>
      <c r="BV9" s="65" t="s">
        <v>11</v>
      </c>
      <c r="CE9" s="1" t="s">
        <v>462</v>
      </c>
    </row>
    <row r="10" spans="1:83" ht="25.05" customHeight="1" x14ac:dyDescent="0.3">
      <c r="B10" s="506" t="s">
        <v>167</v>
      </c>
      <c r="C10" s="507"/>
      <c r="D10" s="507"/>
      <c r="E10" s="587" t="s">
        <v>169</v>
      </c>
      <c r="F10" s="587"/>
      <c r="G10" s="587"/>
      <c r="H10" s="588"/>
      <c r="J10" s="431" t="s">
        <v>3</v>
      </c>
      <c r="K10" s="238" t="s">
        <v>259</v>
      </c>
      <c r="L10" s="125">
        <f>K5-78</f>
        <v>412</v>
      </c>
      <c r="M10" s="126">
        <f>IF(E4=0,0,E9*2)</f>
        <v>4</v>
      </c>
      <c r="N10" s="417">
        <f t="shared" ref="N10" si="1">L10*M10</f>
        <v>1648</v>
      </c>
      <c r="O10" s="422">
        <f>BM10+IF(BL10&gt;0,1,0)</f>
        <v>1</v>
      </c>
      <c r="P10" s="269"/>
      <c r="Q10" s="269"/>
      <c r="R10" s="260">
        <f>O10*BT10</f>
        <v>3020.94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417">
        <f>AU10</f>
        <v>2000</v>
      </c>
      <c r="AH10" s="421">
        <f>(U10*0.2+V10*0.25+X10*0.4+Y10*0.5+AA10*0.6+AC10*0.75+AD10*0.8+AE10)*BT10</f>
        <v>1208.376</v>
      </c>
      <c r="AI10" s="453">
        <f>U10*U8</f>
        <v>0</v>
      </c>
      <c r="AJ10" s="453">
        <f t="shared" ref="AJ10:AT10" si="15">V10*V8</f>
        <v>0</v>
      </c>
      <c r="AK10" s="453">
        <f t="shared" si="15"/>
        <v>0</v>
      </c>
      <c r="AL10" s="453">
        <f t="shared" si="15"/>
        <v>2000</v>
      </c>
      <c r="AM10" s="453">
        <f t="shared" si="15"/>
        <v>0</v>
      </c>
      <c r="AN10" s="453">
        <f t="shared" si="15"/>
        <v>0</v>
      </c>
      <c r="AO10" s="453">
        <f t="shared" si="15"/>
        <v>0</v>
      </c>
      <c r="AP10" s="453">
        <f t="shared" si="15"/>
        <v>0</v>
      </c>
      <c r="AQ10" s="453">
        <f t="shared" si="15"/>
        <v>0</v>
      </c>
      <c r="AR10" s="453">
        <f t="shared" si="15"/>
        <v>0</v>
      </c>
      <c r="AS10" s="453">
        <f t="shared" si="15"/>
        <v>0</v>
      </c>
      <c r="AT10" s="453">
        <f t="shared" si="15"/>
        <v>0</v>
      </c>
      <c r="AU10" s="453">
        <f>SUM(AI10:AT10)</f>
        <v>2000</v>
      </c>
      <c r="AV10" s="453"/>
      <c r="AW10" s="453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266</v>
      </c>
      <c r="BR10" s="189" t="s">
        <v>267</v>
      </c>
      <c r="BS10" s="152"/>
      <c r="BT10" s="3">
        <f t="array" ref="BT10">INDEX(Цены!J:J,MATCH(J10&amp;$E$7,Цены!C:C&amp;Цены!G:G,0))</f>
        <v>3020.94</v>
      </c>
      <c r="BV10" s="65" t="s">
        <v>12</v>
      </c>
      <c r="CE10" s="1" t="s">
        <v>460</v>
      </c>
    </row>
    <row r="11" spans="1:83" ht="25.05" customHeight="1" x14ac:dyDescent="0.3">
      <c r="B11" s="492" t="s">
        <v>158</v>
      </c>
      <c r="C11" s="493"/>
      <c r="D11" s="493"/>
      <c r="E11" s="587" t="s">
        <v>129</v>
      </c>
      <c r="F11" s="587"/>
      <c r="G11" s="587"/>
      <c r="H11" s="588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417">
        <f>L11*M11</f>
        <v>0</v>
      </c>
      <c r="O11" s="422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417">
        <f t="shared" ref="AG11:AG12" si="16">AU11</f>
        <v>0</v>
      </c>
      <c r="AH11" s="424">
        <f>IF(E6=BY4,AW12,AV12)</f>
        <v>0</v>
      </c>
      <c r="AI11" s="453">
        <f>U11*U8</f>
        <v>0</v>
      </c>
      <c r="AJ11" s="453">
        <f t="shared" ref="AJ11:AT11" si="17">V11*V8</f>
        <v>0</v>
      </c>
      <c r="AK11" s="453">
        <f t="shared" si="17"/>
        <v>0</v>
      </c>
      <c r="AL11" s="453">
        <f t="shared" si="17"/>
        <v>0</v>
      </c>
      <c r="AM11" s="453">
        <f t="shared" si="17"/>
        <v>0</v>
      </c>
      <c r="AN11" s="453">
        <f t="shared" si="17"/>
        <v>0</v>
      </c>
      <c r="AO11" s="453">
        <f t="shared" si="17"/>
        <v>0</v>
      </c>
      <c r="AP11" s="453">
        <f t="shared" si="17"/>
        <v>0</v>
      </c>
      <c r="AQ11" s="453">
        <f t="shared" si="17"/>
        <v>0</v>
      </c>
      <c r="AR11" s="453">
        <f t="shared" si="17"/>
        <v>0</v>
      </c>
      <c r="AS11" s="453">
        <f t="shared" si="17"/>
        <v>0</v>
      </c>
      <c r="AT11" s="453">
        <f t="shared" si="17"/>
        <v>0</v>
      </c>
      <c r="AU11" s="453">
        <f t="shared" ref="AU11:AU12" si="18">SUM(AI11:AT11)</f>
        <v>0</v>
      </c>
      <c r="AV11" s="188" t="s">
        <v>266</v>
      </c>
      <c r="AW11" s="189" t="s">
        <v>267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3539.74</v>
      </c>
      <c r="BV11" s="5"/>
      <c r="CE11" s="1" t="s">
        <v>461</v>
      </c>
    </row>
    <row r="12" spans="1:83" ht="25.05" customHeight="1" thickBot="1" x14ac:dyDescent="0.4">
      <c r="B12" s="605" t="s">
        <v>171</v>
      </c>
      <c r="C12" s="606"/>
      <c r="D12" s="606"/>
      <c r="E12" s="595">
        <v>0</v>
      </c>
      <c r="F12" s="595"/>
      <c r="G12" s="595"/>
      <c r="H12" s="596"/>
      <c r="J12" s="431" t="s">
        <v>17</v>
      </c>
      <c r="K12" s="238" t="s">
        <v>202</v>
      </c>
      <c r="L12" s="125">
        <f>E13</f>
        <v>540</v>
      </c>
      <c r="M12" s="126">
        <f>E9</f>
        <v>2</v>
      </c>
      <c r="N12" s="417">
        <f>L12*M12</f>
        <v>1080</v>
      </c>
      <c r="O12" s="422">
        <f>CEILING((L12*M12)/5400,1)</f>
        <v>1</v>
      </c>
      <c r="P12" s="269"/>
      <c r="Q12" s="269"/>
      <c r="R12" s="260">
        <f>O12*BT12</f>
        <v>1230.78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417">
        <f t="shared" si="16"/>
        <v>2700</v>
      </c>
      <c r="AH12" s="360">
        <f>(Z12*0.5+AF12)*BT12</f>
        <v>615.39</v>
      </c>
      <c r="AI12" s="453">
        <f>U12*U8</f>
        <v>0</v>
      </c>
      <c r="AJ12" s="453">
        <f t="shared" ref="AJ12:AT12" si="19">V12*V8</f>
        <v>0</v>
      </c>
      <c r="AK12" s="453">
        <f t="shared" si="19"/>
        <v>0</v>
      </c>
      <c r="AL12" s="453">
        <f t="shared" si="19"/>
        <v>0</v>
      </c>
      <c r="AM12" s="453">
        <f t="shared" si="19"/>
        <v>0</v>
      </c>
      <c r="AN12" s="453">
        <f t="shared" si="19"/>
        <v>2700</v>
      </c>
      <c r="AO12" s="453">
        <f t="shared" si="19"/>
        <v>0</v>
      </c>
      <c r="AP12" s="453">
        <f t="shared" si="19"/>
        <v>0</v>
      </c>
      <c r="AQ12" s="453">
        <f t="shared" si="19"/>
        <v>0</v>
      </c>
      <c r="AR12" s="453">
        <f t="shared" si="19"/>
        <v>0</v>
      </c>
      <c r="AS12" s="453">
        <f t="shared" si="19"/>
        <v>0</v>
      </c>
      <c r="AT12" s="453">
        <f t="shared" si="19"/>
        <v>0</v>
      </c>
      <c r="AU12" s="453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IFERROR(INDEX(Цены!J:J,MATCH(J12&amp;$E$7,Цены!C:C&amp;Цены!G:G,0)),Цены!J36)</f>
        <v>1230.78</v>
      </c>
      <c r="BV12" s="5"/>
    </row>
    <row r="13" spans="1:83" ht="25.05" customHeight="1" thickBot="1" x14ac:dyDescent="0.35">
      <c r="B13" s="605" t="s">
        <v>172</v>
      </c>
      <c r="C13" s="606"/>
      <c r="D13" s="606"/>
      <c r="E13" s="597">
        <v>540</v>
      </c>
      <c r="F13" s="597"/>
      <c r="G13" s="597"/>
      <c r="H13" s="598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14258.140000000001</v>
      </c>
      <c r="S13" s="274"/>
      <c r="T13" s="359"/>
      <c r="U13" s="601" t="s">
        <v>103</v>
      </c>
      <c r="V13" s="601"/>
      <c r="W13" s="525"/>
      <c r="X13" s="525"/>
      <c r="Y13" s="525"/>
      <c r="Z13" s="525"/>
      <c r="AA13" s="525"/>
      <c r="AB13" s="525"/>
      <c r="AC13" s="525"/>
      <c r="AD13" s="525"/>
      <c r="AE13" s="525"/>
      <c r="AF13" s="525"/>
      <c r="AG13" s="526"/>
      <c r="AH13" s="134">
        <f>SUM(AH9:AH12)</f>
        <v>11830.186</v>
      </c>
      <c r="AI13" s="464"/>
      <c r="AJ13" s="464"/>
      <c r="AK13" s="464"/>
      <c r="AL13" s="464"/>
      <c r="AM13" s="464"/>
      <c r="AN13" s="468"/>
      <c r="AO13" s="464"/>
      <c r="AP13" s="464"/>
      <c r="AQ13" s="464"/>
      <c r="AR13" s="464"/>
      <c r="AS13" s="464"/>
      <c r="AT13" s="464"/>
      <c r="AU13" s="464"/>
      <c r="AV13" s="464"/>
      <c r="AW13" s="464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431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07" t="s">
        <v>177</v>
      </c>
      <c r="C14" s="608"/>
      <c r="D14" s="608"/>
      <c r="E14" s="500" t="s">
        <v>99</v>
      </c>
      <c r="F14" s="500"/>
      <c r="G14" s="500"/>
      <c r="H14" s="501"/>
      <c r="J14" s="109"/>
      <c r="K14" s="5"/>
      <c r="L14" s="5"/>
      <c r="M14" s="5"/>
      <c r="N14" s="5"/>
      <c r="O14" s="11"/>
      <c r="S14" s="278"/>
      <c r="AI14" s="453"/>
      <c r="AJ14" s="453"/>
      <c r="AK14" s="453"/>
      <c r="AL14" s="453"/>
      <c r="AM14" s="453"/>
      <c r="AN14" s="468"/>
      <c r="AO14" s="453"/>
      <c r="AP14" s="453"/>
      <c r="AQ14" s="453"/>
      <c r="AR14" s="453"/>
      <c r="AS14" s="453"/>
      <c r="AT14" s="453"/>
      <c r="AU14" s="453"/>
      <c r="AV14" s="453"/>
      <c r="AW14" s="453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29"/>
      <c r="K15" s="416"/>
      <c r="L15" s="416"/>
      <c r="M15" s="416"/>
      <c r="N15" s="416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594" t="s">
        <v>102</v>
      </c>
      <c r="AD15" s="594"/>
      <c r="AE15" s="594"/>
      <c r="AF15" s="594"/>
      <c r="AG15" s="594"/>
      <c r="AH15" s="263">
        <f>AH13+R36+H27</f>
        <v>19079.095999999998</v>
      </c>
      <c r="AI15" s="451"/>
      <c r="AJ15" s="451"/>
      <c r="AK15" s="451"/>
      <c r="AL15" s="451"/>
      <c r="AM15" s="451"/>
      <c r="AN15" s="468"/>
      <c r="AO15" s="451"/>
      <c r="AP15" s="451"/>
      <c r="AQ15" s="451"/>
      <c r="AR15" s="451"/>
      <c r="AS15" s="451"/>
      <c r="AT15" s="451"/>
      <c r="AU15" s="451"/>
      <c r="AV15" s="451"/>
      <c r="AW15" s="451"/>
      <c r="AX15" s="3"/>
      <c r="AY15" s="289">
        <f>AY14/E9</f>
        <v>4.0422359999999991</v>
      </c>
      <c r="AZ15" s="141" t="s">
        <v>263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8"/>
      <c r="AX16" s="6"/>
      <c r="AZ16" s="141" t="s">
        <v>264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576" t="s">
        <v>181</v>
      </c>
      <c r="K17" s="487"/>
      <c r="L17" s="487"/>
      <c r="M17" s="416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5"/>
      <c r="AY17" s="5"/>
      <c r="AZ17" s="185" t="s">
        <v>265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481" t="s">
        <v>0</v>
      </c>
      <c r="K18" s="482"/>
      <c r="L18" s="482"/>
      <c r="M18" s="482"/>
      <c r="N18" s="412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5"/>
      <c r="AH18" s="303"/>
      <c r="AI18" s="452"/>
      <c r="AJ18" s="452"/>
      <c r="AK18" s="452"/>
      <c r="AL18" s="452"/>
      <c r="AM18" s="452"/>
      <c r="AN18" s="452"/>
      <c r="AO18" s="452"/>
      <c r="AP18" s="452"/>
      <c r="AQ18" s="452"/>
      <c r="AR18" s="452"/>
      <c r="AS18" s="452"/>
      <c r="AT18" s="452"/>
      <c r="AU18" s="452"/>
      <c r="AV18" s="452"/>
      <c r="AW18" s="452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599" t="s">
        <v>52</v>
      </c>
      <c r="K19" s="600"/>
      <c r="L19" s="600"/>
      <c r="M19" s="600"/>
      <c r="N19" s="238" t="s">
        <v>203</v>
      </c>
      <c r="O19" s="284">
        <f>IF(E8=BV59,E9,0)</f>
        <v>0</v>
      </c>
      <c r="P19" s="270"/>
      <c r="Q19" s="270"/>
      <c r="R19" s="287">
        <f>O19*Цены!J121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63"/>
      <c r="AJ19" s="463"/>
      <c r="AK19" s="463"/>
      <c r="AL19" s="463"/>
      <c r="AM19" s="463"/>
      <c r="AN19" s="463"/>
      <c r="AO19" s="463"/>
      <c r="AP19" s="463"/>
      <c r="AQ19" s="463"/>
      <c r="AR19" s="463"/>
      <c r="AS19" s="463"/>
      <c r="AT19" s="463"/>
      <c r="AU19" s="463"/>
      <c r="AV19" s="463"/>
      <c r="AW19" s="463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599" t="s">
        <v>71</v>
      </c>
      <c r="K20" s="600"/>
      <c r="L20" s="600"/>
      <c r="M20" s="600"/>
      <c r="N20" s="238" t="s">
        <v>204</v>
      </c>
      <c r="O20" s="284">
        <f>IF(E10=BV33,E9,0)</f>
        <v>0</v>
      </c>
      <c r="P20" s="270"/>
      <c r="Q20" s="270"/>
      <c r="R20" s="287">
        <f>O20*Цены!J156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44"/>
      <c r="AH20" s="442"/>
      <c r="AI20" s="453"/>
      <c r="AJ20" s="453"/>
      <c r="AK20" s="453"/>
      <c r="AL20" s="453"/>
      <c r="AM20" s="453"/>
      <c r="AN20" s="453"/>
      <c r="AO20" s="453"/>
      <c r="AP20" s="453"/>
      <c r="AQ20" s="453"/>
      <c r="AR20" s="453"/>
      <c r="AS20" s="453"/>
      <c r="AT20" s="453"/>
      <c r="AU20" s="453"/>
      <c r="AV20" s="453"/>
      <c r="AW20" s="453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266</v>
      </c>
      <c r="BR20" s="189" t="s">
        <v>267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35" t="s">
        <v>147</v>
      </c>
      <c r="K21" s="536"/>
      <c r="L21" s="536"/>
      <c r="M21" s="536"/>
      <c r="N21" s="238" t="s">
        <v>205</v>
      </c>
      <c r="O21" s="422">
        <f>IF(E10=BV34,E9,0)</f>
        <v>0</v>
      </c>
      <c r="P21" s="249"/>
      <c r="Q21" s="249"/>
      <c r="R21" s="287">
        <f>O21*Цены!J174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44"/>
      <c r="AH21" s="442"/>
      <c r="AI21" s="453"/>
      <c r="AJ21" s="453"/>
      <c r="AK21" s="453"/>
      <c r="AL21" s="453"/>
      <c r="AM21" s="453"/>
      <c r="AN21" s="453"/>
      <c r="AO21" s="453"/>
      <c r="AP21" s="453"/>
      <c r="AQ21" s="453"/>
      <c r="AR21" s="453"/>
      <c r="AS21" s="453"/>
      <c r="AT21" s="453"/>
      <c r="AU21" s="453"/>
      <c r="AV21" s="453"/>
      <c r="AW21" s="453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425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35" t="s">
        <v>149</v>
      </c>
      <c r="K22" s="536"/>
      <c r="L22" s="536"/>
      <c r="M22" s="536"/>
      <c r="N22" s="238" t="s">
        <v>206</v>
      </c>
      <c r="O22" s="422">
        <f>IF(E10=BV35,E9,0)</f>
        <v>2</v>
      </c>
      <c r="P22" s="249"/>
      <c r="Q22" s="249"/>
      <c r="R22" s="287">
        <f>O22*Цены!J175</f>
        <v>146.06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44"/>
      <c r="AH22" s="442"/>
      <c r="AI22" s="453"/>
      <c r="AJ22" s="453"/>
      <c r="AK22" s="453"/>
      <c r="AL22" s="453"/>
      <c r="AM22" s="453"/>
      <c r="AN22" s="453"/>
      <c r="AO22" s="453"/>
      <c r="AP22" s="453"/>
      <c r="AQ22" s="453"/>
      <c r="AR22" s="453"/>
      <c r="AS22" s="453"/>
      <c r="AT22" s="453"/>
      <c r="AU22" s="453"/>
      <c r="AV22" s="453"/>
      <c r="AW22" s="453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430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599" t="s">
        <v>40</v>
      </c>
      <c r="K23" s="600"/>
      <c r="L23" s="600"/>
      <c r="M23" s="600"/>
      <c r="N23" s="238" t="s">
        <v>207</v>
      </c>
      <c r="O23" s="231">
        <f>IF(E13&lt;500,2*E9,E9*ROUNDDOWN((E13/500+1),0))</f>
        <v>4</v>
      </c>
      <c r="P23" s="250"/>
      <c r="Q23" s="250"/>
      <c r="R23" s="287">
        <f>O23*Цены!J100</f>
        <v>1567.24</v>
      </c>
      <c r="S23" s="273"/>
      <c r="T23" s="273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7"/>
      <c r="AH23" s="278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4"/>
      <c r="AV23" s="464"/>
      <c r="AW23" s="464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427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599" t="s">
        <v>44</v>
      </c>
      <c r="K24" s="600"/>
      <c r="L24" s="600"/>
      <c r="M24" s="600"/>
      <c r="N24" s="238" t="s">
        <v>208</v>
      </c>
      <c r="O24" s="284">
        <f>E9</f>
        <v>2</v>
      </c>
      <c r="P24" s="270"/>
      <c r="Q24" s="270"/>
      <c r="R24" s="287">
        <f>O24*Цены!J104</f>
        <v>163.6</v>
      </c>
      <c r="S24" s="273"/>
      <c r="AZ24" s="5"/>
      <c r="BA24" s="5"/>
      <c r="BB24" s="5"/>
      <c r="BC24" s="5"/>
      <c r="BD24" s="5"/>
      <c r="BE24" s="241" t="s">
        <v>524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428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23" t="s">
        <v>228</v>
      </c>
      <c r="K25" s="524"/>
      <c r="L25" s="524"/>
      <c r="M25" s="524"/>
      <c r="N25" s="236" t="s">
        <v>195</v>
      </c>
      <c r="O25" s="231">
        <f>M10*2+M11*2</f>
        <v>8</v>
      </c>
      <c r="P25" s="250"/>
      <c r="Q25" s="250"/>
      <c r="R25" s="287">
        <f>O25*Цены!J184</f>
        <v>72.959999999999994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429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599" t="s">
        <v>82</v>
      </c>
      <c r="K26" s="600"/>
      <c r="L26" s="600"/>
      <c r="M26" s="600"/>
      <c r="N26" s="236" t="s">
        <v>262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O26*Цены!J177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263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426</v>
      </c>
    </row>
    <row r="27" spans="2:84" ht="25.05" customHeight="1" thickBot="1" x14ac:dyDescent="0.35">
      <c r="B27" s="66"/>
      <c r="C27" s="67"/>
      <c r="D27" s="67"/>
      <c r="E27" s="520" t="s">
        <v>79</v>
      </c>
      <c r="F27" s="520"/>
      <c r="G27" s="520"/>
      <c r="H27" s="323">
        <f>SUM(H22:H26)</f>
        <v>0</v>
      </c>
      <c r="J27" s="535" t="s">
        <v>84</v>
      </c>
      <c r="K27" s="536"/>
      <c r="L27" s="536"/>
      <c r="M27" s="536"/>
      <c r="N27" s="236" t="s">
        <v>196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O27*Цены!J178</f>
        <v>466.91999999999996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43"/>
      <c r="AJ27" s="443"/>
      <c r="AK27" s="443"/>
      <c r="AL27" s="443"/>
      <c r="AM27" s="443"/>
      <c r="AN27" s="443"/>
      <c r="AO27" s="443"/>
      <c r="AP27" s="443"/>
      <c r="AQ27" s="443"/>
      <c r="AR27" s="443"/>
      <c r="AS27" s="443"/>
      <c r="AT27" s="443"/>
      <c r="AU27" s="443"/>
      <c r="AV27" s="443"/>
      <c r="AW27" s="443"/>
      <c r="AX27" s="5"/>
      <c r="AY27" s="54" t="s">
        <v>271</v>
      </c>
      <c r="AZ27" s="141" t="s">
        <v>264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527</v>
      </c>
    </row>
    <row r="28" spans="2:84" ht="25.05" customHeight="1" x14ac:dyDescent="0.3">
      <c r="B28" s="66"/>
      <c r="C28" s="573" t="str">
        <f>IF((SUM(BZ22:BZ26)/C18)&lt;&gt;1,BV21,BV22)</f>
        <v>Верно внесены высоты вставок</v>
      </c>
      <c r="D28" s="573"/>
      <c r="E28" s="329">
        <f>IF(C28=BV22,1,0)</f>
        <v>1</v>
      </c>
      <c r="F28" s="329"/>
      <c r="G28" s="329"/>
      <c r="H28" s="68"/>
      <c r="J28" s="599" t="s">
        <v>80</v>
      </c>
      <c r="K28" s="600"/>
      <c r="L28" s="600"/>
      <c r="M28" s="600"/>
      <c r="N28" s="236" t="s">
        <v>197</v>
      </c>
      <c r="O28" s="231">
        <f>IF(AND(E11=BV25,E8=BV59),O25,0)</f>
        <v>0</v>
      </c>
      <c r="P28" s="250"/>
      <c r="Q28" s="250"/>
      <c r="R28" s="287">
        <f>O28*Цены!J171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265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525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23" t="s">
        <v>166</v>
      </c>
      <c r="K29" s="524"/>
      <c r="L29" s="524"/>
      <c r="M29" s="524"/>
      <c r="N29" s="237" t="s">
        <v>198</v>
      </c>
      <c r="O29" s="339">
        <f>IF(AND(E11=BV26,E8=BV59),O25,0)</f>
        <v>0</v>
      </c>
      <c r="P29" s="249"/>
      <c r="Q29" s="249"/>
      <c r="R29" s="262">
        <f>O29*Цены!J132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473" t="s">
        <v>76</v>
      </c>
      <c r="K30" s="474"/>
      <c r="L30" s="474"/>
      <c r="M30" s="474"/>
      <c r="N30" s="235" t="s">
        <v>199</v>
      </c>
      <c r="O30" s="234">
        <f>IF(E11=BV28,ROUNDUP(L9*M9/1000,0),0)</f>
        <v>0</v>
      </c>
      <c r="P30" s="253"/>
      <c r="Q30" s="253"/>
      <c r="R30" s="262">
        <f>O30*Цены!J161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473" t="s">
        <v>129</v>
      </c>
      <c r="K31" s="474"/>
      <c r="L31" s="474"/>
      <c r="M31" s="474"/>
      <c r="N31" s="235" t="s">
        <v>200</v>
      </c>
      <c r="O31" s="234">
        <f>IF(E11=BV27,ROUNDUP(L9*M9/1000,0),0)</f>
        <v>11</v>
      </c>
      <c r="P31" s="253"/>
      <c r="Q31" s="253"/>
      <c r="R31" s="262">
        <f>O31*Цены!J180</f>
        <v>254.20999999999998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574" t="str">
        <f>IF(AND(SUM(BZ22:BZ26)/C18=1,E26=0,C18&lt;&gt;1),BV42,BV43)</f>
        <v xml:space="preserve"> </v>
      </c>
      <c r="D32" s="574"/>
      <c r="E32" s="85"/>
      <c r="F32" s="85"/>
      <c r="G32" s="85"/>
      <c r="H32" s="11"/>
      <c r="J32" s="473" t="s">
        <v>161</v>
      </c>
      <c r="K32" s="474"/>
      <c r="L32" s="474"/>
      <c r="M32" s="474"/>
      <c r="N32" s="294" t="s">
        <v>201</v>
      </c>
      <c r="O32" s="232">
        <f>IF(O31&gt;0,M9*2,0)</f>
        <v>8</v>
      </c>
      <c r="P32" s="251"/>
      <c r="Q32" s="251"/>
      <c r="R32" s="262">
        <f>O32*Цены!J176</f>
        <v>126.08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473" t="s">
        <v>177</v>
      </c>
      <c r="K33" s="474"/>
      <c r="L33" s="474"/>
      <c r="M33" s="474"/>
      <c r="N33" s="236" t="s">
        <v>209</v>
      </c>
      <c r="O33" s="232">
        <f>IF(E14=BV46,E9,0)</f>
        <v>0</v>
      </c>
      <c r="P33" s="251"/>
      <c r="Q33" s="251"/>
      <c r="R33" s="262">
        <f>O33*Цены!J118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473" t="s">
        <v>238</v>
      </c>
      <c r="K34" s="474"/>
      <c r="L34" s="474"/>
      <c r="M34" s="474"/>
      <c r="N34" s="236" t="s">
        <v>242</v>
      </c>
      <c r="O34" s="232">
        <f>IF(E8=BV60,E9,0)</f>
        <v>2</v>
      </c>
      <c r="P34" s="251"/>
      <c r="Q34" s="251"/>
      <c r="R34" s="262">
        <f>O34*Цены!J124</f>
        <v>4451.84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168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09" t="s">
        <v>162</v>
      </c>
      <c r="K35" s="610"/>
      <c r="L35" s="610"/>
      <c r="M35" s="610"/>
      <c r="N35" s="465" t="s">
        <v>210</v>
      </c>
      <c r="O35" s="455">
        <f>E12</f>
        <v>0</v>
      </c>
      <c r="P35" s="251"/>
      <c r="Q35" s="251"/>
      <c r="R35" s="300">
        <f>O35*Цены!J147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525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169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66"/>
      <c r="L36" s="467"/>
      <c r="M36" s="467"/>
      <c r="N36" s="467"/>
      <c r="O36" s="138"/>
      <c r="R36" s="283">
        <f>SUM(R19:R35)</f>
        <v>7248.91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268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577" t="s">
        <v>432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263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45" t="s">
        <v>528</v>
      </c>
      <c r="M38" s="545"/>
      <c r="N38" s="545"/>
      <c r="O38" s="545"/>
      <c r="Q38" s="577"/>
      <c r="R38" s="282">
        <f>R13+R36+H27</f>
        <v>21507.050000000003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264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265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180</v>
      </c>
    </row>
    <row r="52" spans="59:74" s="54" customFormat="1" x14ac:dyDescent="0.3">
      <c r="BV52" s="54" t="s">
        <v>175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178</v>
      </c>
    </row>
    <row r="56" spans="59:74" s="54" customFormat="1" x14ac:dyDescent="0.3">
      <c r="BV56" s="54" t="s">
        <v>175</v>
      </c>
    </row>
    <row r="59" spans="59:74" s="54" customFormat="1" x14ac:dyDescent="0.3">
      <c r="BV59" s="54" t="s">
        <v>239</v>
      </c>
    </row>
    <row r="60" spans="59:74" s="54" customFormat="1" x14ac:dyDescent="0.3">
      <c r="BV60" s="54" t="s">
        <v>240</v>
      </c>
    </row>
    <row r="65" spans="74:74" s="54" customFormat="1" x14ac:dyDescent="0.3">
      <c r="BV65" s="38" t="str">
        <f>Подвесная!BV50</f>
        <v>Серебро матовое</v>
      </c>
    </row>
    <row r="66" spans="74:74" s="54" customFormat="1" x14ac:dyDescent="0.3">
      <c r="BV66" s="38" t="str">
        <f>Подвесная!BV51</f>
        <v>Черный матовый</v>
      </c>
    </row>
    <row r="67" spans="74:74" s="54" customFormat="1" x14ac:dyDescent="0.3">
      <c r="BV67" s="38" t="str">
        <f>Подвесная!BV52</f>
        <v>Слоновая кость</v>
      </c>
    </row>
    <row r="68" spans="74:74" s="54" customFormat="1" x14ac:dyDescent="0.3">
      <c r="BV68" s="38" t="str">
        <f>Подвесная!BV53</f>
        <v>Белый матовый</v>
      </c>
    </row>
    <row r="69" spans="74:74" s="54" customFormat="1" x14ac:dyDescent="0.3">
      <c r="BV69" s="38" t="str">
        <f>Подвесная!BV54</f>
        <v xml:space="preserve">Венге темный </v>
      </c>
    </row>
    <row r="70" spans="74:74" s="54" customFormat="1" x14ac:dyDescent="0.3">
      <c r="BV70" s="38" t="str">
        <f>Подвесная!BV55</f>
        <v>Дуб белый</v>
      </c>
    </row>
    <row r="71" spans="74:74" s="54" customFormat="1" x14ac:dyDescent="0.3">
      <c r="BV71" s="38" t="str">
        <f>Подвесная!BV56</f>
        <v xml:space="preserve"> медь античная*</v>
      </c>
    </row>
    <row r="72" spans="74:74" s="54" customFormat="1" x14ac:dyDescent="0.3">
      <c r="BV72" s="38" t="str">
        <f>Подвесная!BV57</f>
        <v>сталь воронёная</v>
      </c>
    </row>
    <row r="73" spans="74:74" x14ac:dyDescent="0.3">
      <c r="BV73" s="38" t="str">
        <f>Подвесная!BV58</f>
        <v>золото матовое</v>
      </c>
    </row>
    <row r="74" spans="74:74" x14ac:dyDescent="0.3">
      <c r="BV74" s="38" t="str">
        <f>Подвесная!BV59</f>
        <v>антрацит</v>
      </c>
    </row>
    <row r="75" spans="74:74" x14ac:dyDescent="0.3">
      <c r="BV75" s="38" t="str">
        <f>Подвесная!BV60</f>
        <v>кварц бронзовый*</v>
      </c>
    </row>
    <row r="76" spans="74:74" x14ac:dyDescent="0.3">
      <c r="BV76" s="38" t="str">
        <f>Подвесная!BV61</f>
        <v>жемчуг серый*</v>
      </c>
    </row>
    <row r="77" spans="74:74" x14ac:dyDescent="0.3">
      <c r="BV77" s="38" t="str">
        <f>Подвесная!BV62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NvfYPKJmWQXSiwUFw+tcGcyVryPC8OELfgZW5/i01NU9av50eQSTfa3Gmn6v6JLu/HgqZTlQjOHV3hVVelQKng==" saltValue="fGDrf8PtOnuJKXk2FIoKQw==" spinCount="100000" sheet="1" selectLockedCells="1"/>
  <mergeCells count="58"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U13:AG13"/>
    <mergeCell ref="J17:L17"/>
    <mergeCell ref="J3:K3"/>
    <mergeCell ref="J7:M7"/>
    <mergeCell ref="U7:AH7"/>
    <mergeCell ref="R4:R5"/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</mergeCells>
  <conditionalFormatting sqref="E12">
    <cfRule type="cellIs" dxfId="63" priority="76" operator="greaterThan">
      <formula>0</formula>
    </cfRule>
  </conditionalFormatting>
  <conditionalFormatting sqref="E13">
    <cfRule type="cellIs" dxfId="62" priority="69" operator="greaterThan">
      <formula>0</formula>
    </cfRule>
  </conditionalFormatting>
  <conditionalFormatting sqref="E14">
    <cfRule type="cellIs" dxfId="61" priority="60" operator="greaterThan">
      <formula>0</formula>
    </cfRule>
  </conditionalFormatting>
  <conditionalFormatting sqref="K4">
    <cfRule type="expression" dxfId="60" priority="63">
      <formula>$K$4&gt;3200</formula>
    </cfRule>
  </conditionalFormatting>
  <conditionalFormatting sqref="E6">
    <cfRule type="cellIs" dxfId="59" priority="45" operator="greaterThan">
      <formula>0</formula>
    </cfRule>
  </conditionalFormatting>
  <conditionalFormatting sqref="R29:T32 O30:Q32 O33:T35">
    <cfRule type="expression" dxfId="58" priority="582">
      <formula>#REF!=0</formula>
    </cfRule>
  </conditionalFormatting>
  <conditionalFormatting sqref="R38:T38 AW27 AI27 AH15">
    <cfRule type="expression" dxfId="57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56" priority="733">
      <formula>$E$4=0</formula>
    </cfRule>
  </conditionalFormatting>
  <conditionalFormatting sqref="O11">
    <cfRule type="expression" dxfId="55" priority="38">
      <formula>$E$4=0</formula>
    </cfRule>
  </conditionalFormatting>
  <conditionalFormatting sqref="O10">
    <cfRule type="expression" dxfId="54" priority="37">
      <formula>$E$4=0</formula>
    </cfRule>
  </conditionalFormatting>
  <conditionalFormatting sqref="AJ27">
    <cfRule type="expression" dxfId="53" priority="25">
      <formula>$E$4=0</formula>
    </cfRule>
  </conditionalFormatting>
  <conditionalFormatting sqref="AJ9:AJ10 AJ12:AJ13">
    <cfRule type="expression" dxfId="52" priority="26">
      <formula>$E$4=0</formula>
    </cfRule>
  </conditionalFormatting>
  <conditionalFormatting sqref="AT27:AV27">
    <cfRule type="expression" dxfId="51" priority="21">
      <formula>$E$4=0</formula>
    </cfRule>
  </conditionalFormatting>
  <conditionalFormatting sqref="AT9:AV10 AT13:AV13 AU11:AU12 AT12:AU12">
    <cfRule type="expression" dxfId="50" priority="22">
      <formula>$E$4=0</formula>
    </cfRule>
  </conditionalFormatting>
  <conditionalFormatting sqref="AS27">
    <cfRule type="expression" dxfId="49" priority="17">
      <formula>$E$4=0</formula>
    </cfRule>
  </conditionalFormatting>
  <conditionalFormatting sqref="AS12:AS13 AS9:AS10">
    <cfRule type="expression" dxfId="48" priority="18">
      <formula>$E$4=0</formula>
    </cfRule>
  </conditionalFormatting>
  <conditionalFormatting sqref="AP27:AR27">
    <cfRule type="expression" dxfId="47" priority="13">
      <formula>$E$4=0</formula>
    </cfRule>
  </conditionalFormatting>
  <conditionalFormatting sqref="AP9:AR10 AP12:AR13">
    <cfRule type="expression" dxfId="46" priority="14">
      <formula>$E$4=0</formula>
    </cfRule>
  </conditionalFormatting>
  <conditionalFormatting sqref="AN27:AO27">
    <cfRule type="expression" dxfId="45" priority="9">
      <formula>$E$4=0</formula>
    </cfRule>
  </conditionalFormatting>
  <conditionalFormatting sqref="AN12:AO12 AN9:AO10 AO13">
    <cfRule type="expression" dxfId="44" priority="10">
      <formula>$E$4=0</formula>
    </cfRule>
  </conditionalFormatting>
  <conditionalFormatting sqref="AK27:AM27">
    <cfRule type="expression" dxfId="43" priority="7">
      <formula>$E$4=0</formula>
    </cfRule>
  </conditionalFormatting>
  <conditionalFormatting sqref="AK9:AM10 AK12:AM13">
    <cfRule type="expression" dxfId="42" priority="8">
      <formula>$E$4=0</formula>
    </cfRule>
  </conditionalFormatting>
  <conditionalFormatting sqref="C28">
    <cfRule type="expression" dxfId="41" priority="1091">
      <formula>$C$28=$BV$22</formula>
    </cfRule>
  </conditionalFormatting>
  <conditionalFormatting sqref="C28:D28">
    <cfRule type="expression" dxfId="40" priority="1092">
      <formula>$C$28=$BV$21</formula>
    </cfRule>
  </conditionalFormatting>
  <conditionalFormatting sqref="C32">
    <cfRule type="expression" dxfId="39" priority="1093">
      <formula>$C$32=$BV$42</formula>
    </cfRule>
  </conditionalFormatting>
  <conditionalFormatting sqref="H37">
    <cfRule type="expression" dxfId="38" priority="1094">
      <formula>AND($E$8=$BV$59,$H$37&gt;30)</formula>
    </cfRule>
    <cfRule type="expression" dxfId="37" priority="1095">
      <formula>AND($E$8=$BV$60,$H$37&gt;40)</formula>
    </cfRule>
  </conditionalFormatting>
  <conditionalFormatting sqref="K5">
    <cfRule type="expression" dxfId="36" priority="1096">
      <formula>AND(OR($K$5&lt;200,$K$5&gt;900),$E$4&gt;0,$E$8=$BV$60)</formula>
    </cfRule>
    <cfRule type="expression" dxfId="35" priority="1097">
      <formula>$E$9=0</formula>
    </cfRule>
    <cfRule type="expression" dxfId="34" priority="1098">
      <formula>AND(OR($K$5&lt;200,$K$5&gt;700),$E$4&gt;0,$E$8=$BV$59)</formula>
    </cfRule>
  </conditionalFormatting>
  <conditionalFormatting sqref="E11">
    <cfRule type="expression" dxfId="33" priority="1099">
      <formula>AND($E$8=$BV$60,OR($E$11=$BV$25,$E$11=$BV$26))</formula>
    </cfRule>
    <cfRule type="cellIs" dxfId="32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31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30" priority="1114">
      <formula>$N$3=$CE$10</formula>
    </cfRule>
  </conditionalFormatting>
  <conditionalFormatting sqref="R38">
    <cfRule type="expression" dxfId="29" priority="1120">
      <formula>$N$3=$CE$11</formula>
    </cfRule>
  </conditionalFormatting>
  <conditionalFormatting sqref="U9:AF12">
    <cfRule type="cellIs" dxfId="28" priority="3" operator="equal">
      <formula>0</formula>
    </cfRule>
  </conditionalFormatting>
  <conditionalFormatting sqref="AW12">
    <cfRule type="expression" dxfId="27" priority="2">
      <formula>$E$4=0</formula>
    </cfRule>
  </conditionalFormatting>
  <conditionalFormatting sqref="AV12">
    <cfRule type="expression" dxfId="26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topLeftCell="A16"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480" t="s">
        <v>104</v>
      </c>
      <c r="C1" s="480"/>
      <c r="D1" s="480"/>
      <c r="E1" s="480"/>
      <c r="F1" s="480"/>
      <c r="G1" s="480"/>
      <c r="H1" s="480"/>
      <c r="I1" s="149"/>
      <c r="J1" s="480" t="s">
        <v>105</v>
      </c>
      <c r="K1" s="480"/>
      <c r="L1" s="480"/>
      <c r="M1" s="480"/>
      <c r="N1" s="480"/>
      <c r="O1" s="480"/>
    </row>
    <row r="2" spans="2:83" ht="25.05" customHeight="1" thickBot="1" x14ac:dyDescent="0.35"/>
    <row r="3" spans="2:83" ht="25.05" customHeight="1" thickBot="1" x14ac:dyDescent="0.35">
      <c r="B3" s="502" t="s">
        <v>121</v>
      </c>
      <c r="C3" s="503"/>
      <c r="D3" s="503"/>
      <c r="E3" s="581">
        <v>2600</v>
      </c>
      <c r="F3" s="510"/>
      <c r="G3" s="510"/>
      <c r="H3" s="511"/>
      <c r="J3" s="485" t="s">
        <v>270</v>
      </c>
      <c r="K3" s="486"/>
      <c r="N3" s="437"/>
      <c r="O3" s="437"/>
      <c r="R3" s="3"/>
      <c r="S3" s="3"/>
      <c r="T3" s="3"/>
      <c r="V3" s="366"/>
      <c r="W3" s="593" t="s">
        <v>424</v>
      </c>
      <c r="X3" s="593"/>
      <c r="Y3" s="593"/>
      <c r="Z3" s="534" t="s">
        <v>425</v>
      </c>
      <c r="AA3" s="534"/>
      <c r="AB3" s="366"/>
      <c r="AC3" s="366"/>
      <c r="BE3" s="241" t="s">
        <v>425</v>
      </c>
    </row>
    <row r="4" spans="2:83" ht="25.05" customHeight="1" x14ac:dyDescent="0.3">
      <c r="B4" s="504" t="s">
        <v>120</v>
      </c>
      <c r="C4" s="505"/>
      <c r="D4" s="505"/>
      <c r="E4" s="580">
        <v>800</v>
      </c>
      <c r="F4" s="512"/>
      <c r="G4" s="512"/>
      <c r="H4" s="513"/>
      <c r="J4" s="107" t="s">
        <v>13</v>
      </c>
      <c r="K4" s="306">
        <f>IF(OR(E8=BV15,E8=BV16,E8=BV17),E3-45,E3-85)</f>
        <v>2555</v>
      </c>
      <c r="L4" s="5"/>
      <c r="M4" s="5"/>
      <c r="N4" s="5"/>
      <c r="O4" s="5"/>
      <c r="R4" s="541" t="s">
        <v>460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04" t="s">
        <v>449</v>
      </c>
      <c r="C5" s="505"/>
      <c r="D5" s="505"/>
      <c r="E5" s="582">
        <v>0</v>
      </c>
      <c r="F5" s="488"/>
      <c r="G5" s="488"/>
      <c r="H5" s="489"/>
      <c r="J5" s="298" t="s">
        <v>14</v>
      </c>
      <c r="K5" s="307">
        <f>ROUNDDOWN(IF(AND(E8=BV17,OR(E10=BV24,E10=BV25)),(E4+39+39)/4,
IF(AND(E8=BV17,OR(E10=BV26,E10=BV27)),(E4-10+39+39)/4,
IF(AND(OR(E8=BV15,E8=BV16,E8=BV18),E10=BV24),E4/E9,
IF(AND(OR(E8=BV15,E8=BV16,E8=BV18),E10=BV25),(E4-2)/E9,
IF(AND(OR(E8=BV15,E8=BV16,E8=BV18),OR(E10=BV26,E10=BV27)),(E4-10)/E9))))),0)</f>
        <v>790</v>
      </c>
      <c r="L5" s="5"/>
      <c r="R5" s="542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04" t="s">
        <v>243</v>
      </c>
      <c r="C6" s="505"/>
      <c r="D6" s="505"/>
      <c r="E6" s="621" t="s">
        <v>459</v>
      </c>
      <c r="F6" s="622"/>
      <c r="G6" s="622"/>
      <c r="H6" s="623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458</v>
      </c>
      <c r="BZ6" s="1" t="s">
        <v>244</v>
      </c>
      <c r="CA6" s="113">
        <f>IF(E6=BY6,9,8)</f>
        <v>8</v>
      </c>
      <c r="CB6" s="5"/>
    </row>
    <row r="7" spans="2:83" ht="25.05" customHeight="1" x14ac:dyDescent="0.3">
      <c r="B7" s="504" t="s">
        <v>122</v>
      </c>
      <c r="C7" s="505"/>
      <c r="D7" s="505"/>
      <c r="E7" s="582" t="s">
        <v>234</v>
      </c>
      <c r="F7" s="488"/>
      <c r="G7" s="488"/>
      <c r="H7" s="489"/>
      <c r="J7" s="571" t="s">
        <v>182</v>
      </c>
      <c r="K7" s="572"/>
      <c r="L7" s="572"/>
      <c r="M7" s="572"/>
      <c r="N7" s="428"/>
      <c r="O7" s="304"/>
      <c r="P7" s="268"/>
      <c r="Q7" s="268"/>
      <c r="R7" s="258"/>
      <c r="S7" s="194"/>
      <c r="T7" s="358"/>
      <c r="U7" s="537" t="s">
        <v>100</v>
      </c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8"/>
      <c r="AI7" s="451"/>
      <c r="AJ7" s="451"/>
      <c r="AK7" s="451"/>
      <c r="AL7" s="451"/>
      <c r="AM7" s="451"/>
      <c r="AN7" s="451"/>
      <c r="AO7" s="451"/>
      <c r="AP7" s="451"/>
      <c r="AQ7" s="451"/>
      <c r="AR7" s="451"/>
      <c r="AS7" s="451"/>
      <c r="AT7" s="451"/>
      <c r="AU7" s="451"/>
      <c r="AV7" s="451"/>
      <c r="AW7" s="451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459</v>
      </c>
      <c r="BZ7" s="1" t="s">
        <v>260</v>
      </c>
      <c r="CA7" s="5"/>
    </row>
    <row r="8" spans="2:83" ht="25.05" customHeight="1" x14ac:dyDescent="0.3">
      <c r="B8" s="567" t="s">
        <v>123</v>
      </c>
      <c r="C8" s="568"/>
      <c r="D8" s="568"/>
      <c r="E8" s="624" t="s">
        <v>90</v>
      </c>
      <c r="F8" s="625"/>
      <c r="G8" s="625"/>
      <c r="H8" s="626"/>
      <c r="J8" s="411" t="s">
        <v>0</v>
      </c>
      <c r="K8" s="412" t="s">
        <v>1</v>
      </c>
      <c r="L8" s="412" t="s">
        <v>7</v>
      </c>
      <c r="M8" s="412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x14ac:dyDescent="0.35">
      <c r="B9" s="506" t="s">
        <v>124</v>
      </c>
      <c r="C9" s="507"/>
      <c r="D9" s="507"/>
      <c r="E9" s="582">
        <v>1</v>
      </c>
      <c r="F9" s="488"/>
      <c r="G9" s="488"/>
      <c r="H9" s="489"/>
      <c r="J9" s="431" t="s">
        <v>2</v>
      </c>
      <c r="K9" s="238" t="s">
        <v>190</v>
      </c>
      <c r="L9" s="125">
        <f>K4</f>
        <v>2555</v>
      </c>
      <c r="M9" s="126">
        <f>IF(AND(E3&gt;0,E8=BV17),4,IF(AND(E3&gt;0,OR(E8=BV15,E8=BV16,E8=BV18)),E9*2,0))</f>
        <v>2</v>
      </c>
      <c r="N9" s="126"/>
      <c r="O9" s="339">
        <f>IF(L9&gt;2650,M9,M9/2)</f>
        <v>1</v>
      </c>
      <c r="P9" s="269"/>
      <c r="Q9" s="269"/>
      <c r="R9" s="260">
        <f>O9*BT9</f>
        <v>5003.21</v>
      </c>
      <c r="S9" s="255"/>
      <c r="T9" s="436" t="str">
        <f>J9</f>
        <v>вертикальный профиль</v>
      </c>
      <c r="U9" s="432">
        <f>IF($Z$3=$CE$21,AZ9,IF($Z$3=$CE$27,AZ37,IF($Z$3=$CE$28,AZ52,AZ22)))</f>
        <v>0</v>
      </c>
      <c r="V9" s="432">
        <f t="shared" ref="V9:AF9" si="0">IF($Z$3=$CE$21,BA9,IF($Z$3=$CE$27,BA37,IF($Z$3=$CE$28,BA52,BA22)))</f>
        <v>0</v>
      </c>
      <c r="W9" s="432">
        <f t="shared" si="0"/>
        <v>0</v>
      </c>
      <c r="X9" s="432">
        <f t="shared" si="0"/>
        <v>0</v>
      </c>
      <c r="Y9" s="432">
        <f t="shared" si="0"/>
        <v>0</v>
      </c>
      <c r="Z9" s="432">
        <f t="shared" si="0"/>
        <v>0</v>
      </c>
      <c r="AA9" s="432">
        <f t="shared" si="0"/>
        <v>0</v>
      </c>
      <c r="AB9" s="432">
        <f t="shared" si="0"/>
        <v>0</v>
      </c>
      <c r="AC9" s="432">
        <f t="shared" si="0"/>
        <v>0</v>
      </c>
      <c r="AD9" s="432">
        <f t="shared" si="0"/>
        <v>0</v>
      </c>
      <c r="AE9" s="432">
        <f t="shared" si="0"/>
        <v>0</v>
      </c>
      <c r="AF9" s="432">
        <f t="shared" si="0"/>
        <v>1</v>
      </c>
      <c r="AG9" s="123"/>
      <c r="AH9" s="433">
        <f>R9</f>
        <v>5003.21</v>
      </c>
      <c r="AI9" s="463"/>
      <c r="AJ9" s="463"/>
      <c r="AK9" s="463"/>
      <c r="AL9" s="463"/>
      <c r="AM9" s="463"/>
      <c r="AN9" s="463"/>
      <c r="AO9" s="463"/>
      <c r="AP9" s="463"/>
      <c r="AQ9" s="463"/>
      <c r="AR9" s="463"/>
      <c r="AS9" s="463"/>
      <c r="AT9" s="463"/>
      <c r="AU9" s="463"/>
      <c r="AV9" s="463"/>
      <c r="AW9" s="463"/>
      <c r="AX9" s="362">
        <v>0.69</v>
      </c>
      <c r="AY9" s="3">
        <f>AX9*L9*M9/1000</f>
        <v>3.5258999999999996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1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5003.21</v>
      </c>
      <c r="BU9" s="5"/>
      <c r="CE9" s="1" t="s">
        <v>462</v>
      </c>
    </row>
    <row r="10" spans="2:83" ht="25.05" customHeight="1" thickBot="1" x14ac:dyDescent="0.35">
      <c r="B10" s="607" t="s">
        <v>158</v>
      </c>
      <c r="C10" s="608"/>
      <c r="D10" s="608"/>
      <c r="E10" s="627" t="s">
        <v>129</v>
      </c>
      <c r="F10" s="628"/>
      <c r="G10" s="628"/>
      <c r="H10" s="629"/>
      <c r="J10" s="431" t="s">
        <v>4</v>
      </c>
      <c r="K10" s="238" t="s">
        <v>191</v>
      </c>
      <c r="L10" s="125">
        <f>IF(OR(E8=BV15,E8=BV17),K5-120,0)</f>
        <v>670</v>
      </c>
      <c r="M10" s="126">
        <f>IF(AND(L10&gt;0,E8=BV15),E9,IF(AND(L10&gt;0,E8=BV17),2,0))</f>
        <v>1</v>
      </c>
      <c r="N10" s="618">
        <f>L10*M10+L11*M11</f>
        <v>670</v>
      </c>
      <c r="O10" s="616">
        <f>CEILING((L10*M10+L11*M11)/5000,1)</f>
        <v>1</v>
      </c>
      <c r="P10" s="269"/>
      <c r="Q10" s="269"/>
      <c r="R10" s="611">
        <f>O10*BT10</f>
        <v>5377.78</v>
      </c>
      <c r="S10" s="274"/>
      <c r="T10" s="620" t="str">
        <f>J10</f>
        <v>направляющая верхняя</v>
      </c>
      <c r="U10" s="613">
        <f>IF($Z$3=$CE$21,AZ10,IF($Z$3=$CE$27,AZ38,IF($Z$3=$CE$28,AZ53,AZ23)))</f>
        <v>0</v>
      </c>
      <c r="V10" s="613">
        <f t="shared" ref="V10:AF10" si="1">IF($Z$3=$CE$21,BA10,IF($Z$3=$CE$27,BA38,IF($Z$3=$CE$28,BA53,BA23)))</f>
        <v>0</v>
      </c>
      <c r="W10" s="613">
        <f t="shared" si="1"/>
        <v>0</v>
      </c>
      <c r="X10" s="613">
        <f t="shared" si="1"/>
        <v>0</v>
      </c>
      <c r="Y10" s="613">
        <f t="shared" si="1"/>
        <v>1</v>
      </c>
      <c r="Z10" s="613">
        <f t="shared" si="1"/>
        <v>0</v>
      </c>
      <c r="AA10" s="613">
        <f t="shared" si="1"/>
        <v>0</v>
      </c>
      <c r="AB10" s="613">
        <f t="shared" si="1"/>
        <v>0</v>
      </c>
      <c r="AC10" s="613">
        <f t="shared" si="1"/>
        <v>0</v>
      </c>
      <c r="AD10" s="613">
        <f t="shared" si="1"/>
        <v>0</v>
      </c>
      <c r="AE10" s="613">
        <f t="shared" si="1"/>
        <v>0</v>
      </c>
      <c r="AF10" s="613">
        <f t="shared" si="1"/>
        <v>0</v>
      </c>
      <c r="AG10" s="475">
        <f>AU10</f>
        <v>2500</v>
      </c>
      <c r="AH10" s="630">
        <f>Y10*BT10*0.5+AE10*BT10</f>
        <v>2688.89</v>
      </c>
      <c r="AI10" s="463">
        <f>U10*U8</f>
        <v>0</v>
      </c>
      <c r="AJ10" s="463">
        <f t="shared" ref="AJ10:AT10" si="2">V10*V8</f>
        <v>0</v>
      </c>
      <c r="AK10" s="463">
        <f t="shared" si="2"/>
        <v>0</v>
      </c>
      <c r="AL10" s="463">
        <f t="shared" si="2"/>
        <v>0</v>
      </c>
      <c r="AM10" s="463">
        <f t="shared" si="2"/>
        <v>2500</v>
      </c>
      <c r="AN10" s="463">
        <f t="shared" si="2"/>
        <v>0</v>
      </c>
      <c r="AO10" s="463">
        <f t="shared" si="2"/>
        <v>0</v>
      </c>
      <c r="AP10" s="463">
        <f t="shared" si="2"/>
        <v>0</v>
      </c>
      <c r="AQ10" s="463">
        <f t="shared" si="2"/>
        <v>0</v>
      </c>
      <c r="AR10" s="463">
        <f t="shared" si="2"/>
        <v>0</v>
      </c>
      <c r="AS10" s="463">
        <f t="shared" si="2"/>
        <v>0</v>
      </c>
      <c r="AT10" s="463">
        <f t="shared" si="2"/>
        <v>0</v>
      </c>
      <c r="AU10" s="463">
        <f>SUM(AI10:AT10)</f>
        <v>2500</v>
      </c>
      <c r="AV10" s="463"/>
      <c r="AW10" s="463"/>
      <c r="AX10" s="3"/>
      <c r="AY10" s="3"/>
      <c r="AZ10" s="197"/>
      <c r="BA10" s="197"/>
      <c r="BB10" s="197"/>
      <c r="BC10" s="197"/>
      <c r="BD10" s="198">
        <f>IF(AND(BL10&gt;0,BL10&lt;=2500),1,0)</f>
        <v>1</v>
      </c>
      <c r="BE10" s="197"/>
      <c r="BF10" s="197"/>
      <c r="BG10" s="197"/>
      <c r="BH10" s="197"/>
      <c r="BI10" s="197"/>
      <c r="BJ10" s="198">
        <f>IF(AND(BL10&gt;2500,BL10&lt;=4950),BM10+1,BM10)</f>
        <v>0</v>
      </c>
      <c r="BK10" s="197"/>
      <c r="BL10" s="199">
        <f>N10-BC5*BM10</f>
        <v>670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5377.78</v>
      </c>
      <c r="BU10" s="5"/>
      <c r="BV10" s="65" t="s">
        <v>10</v>
      </c>
      <c r="CE10" s="1" t="s">
        <v>460</v>
      </c>
    </row>
    <row r="11" spans="2:83" ht="25.05" customHeight="1" x14ac:dyDescent="0.3">
      <c r="J11" s="431" t="s">
        <v>4</v>
      </c>
      <c r="K11" s="238" t="s">
        <v>191</v>
      </c>
      <c r="L11" s="125">
        <f>IF(E8=BV17,(E4-K5*2)-120,0)</f>
        <v>0</v>
      </c>
      <c r="M11" s="126">
        <f>IF(L11&gt;0,1,0)</f>
        <v>0</v>
      </c>
      <c r="N11" s="619"/>
      <c r="O11" s="617"/>
      <c r="P11" s="269"/>
      <c r="Q11" s="269"/>
      <c r="R11" s="612"/>
      <c r="S11" s="274"/>
      <c r="T11" s="620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475"/>
      <c r="AH11" s="630"/>
      <c r="AI11" s="463"/>
      <c r="AJ11" s="463"/>
      <c r="AK11" s="463"/>
      <c r="AL11" s="463"/>
      <c r="AM11" s="463"/>
      <c r="AN11" s="463"/>
      <c r="AO11" s="463"/>
      <c r="AP11" s="463"/>
      <c r="AQ11" s="463"/>
      <c r="AR11" s="463"/>
      <c r="AS11" s="463"/>
      <c r="AT11" s="463"/>
      <c r="AU11" s="463"/>
      <c r="AV11" s="463"/>
      <c r="AW11" s="46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461</v>
      </c>
    </row>
    <row r="12" spans="2:83" ht="25.05" customHeight="1" thickBot="1" x14ac:dyDescent="0.35">
      <c r="J12" s="431" t="s">
        <v>5</v>
      </c>
      <c r="K12" s="238" t="s">
        <v>192</v>
      </c>
      <c r="L12" s="125">
        <f>IF(OR(E8=BV15,E8=BV17),E4,0)</f>
        <v>800</v>
      </c>
      <c r="M12" s="126">
        <f>IF(E8=BV15,2,IF(E8=BV17,1,0))</f>
        <v>2</v>
      </c>
      <c r="N12" s="125">
        <f>L12*M12</f>
        <v>1600</v>
      </c>
      <c r="O12" s="339">
        <f>CEILING((L12*M12)/5000,1)</f>
        <v>1</v>
      </c>
      <c r="P12" s="269"/>
      <c r="Q12" s="269"/>
      <c r="R12" s="260">
        <f>O12*BT12</f>
        <v>1750.3</v>
      </c>
      <c r="S12" s="255"/>
      <c r="T12" s="436" t="str">
        <f>J12</f>
        <v>накладка декоративная</v>
      </c>
      <c r="U12" s="432">
        <f>IF($Z$3=$CE$21,AZ12,IF($Z$3=$CE$27,AZ40,IF($Z$3=$CE$28,AZ55,AZ25)))</f>
        <v>0</v>
      </c>
      <c r="V12" s="432">
        <f t="shared" ref="V12:AF12" si="3">IF($Z$3=$CE$21,BA12,IF($Z$3=$CE$27,BA40,IF($Z$3=$CE$28,BA55,BA25)))</f>
        <v>0</v>
      </c>
      <c r="W12" s="432">
        <f t="shared" si="3"/>
        <v>0</v>
      </c>
      <c r="X12" s="432">
        <f t="shared" si="3"/>
        <v>0</v>
      </c>
      <c r="Y12" s="432">
        <f t="shared" si="3"/>
        <v>1</v>
      </c>
      <c r="Z12" s="432">
        <f t="shared" si="3"/>
        <v>0</v>
      </c>
      <c r="AA12" s="432">
        <f t="shared" si="3"/>
        <v>0</v>
      </c>
      <c r="AB12" s="432">
        <f t="shared" si="3"/>
        <v>0</v>
      </c>
      <c r="AC12" s="432">
        <f t="shared" si="3"/>
        <v>0</v>
      </c>
      <c r="AD12" s="432">
        <f t="shared" si="3"/>
        <v>0</v>
      </c>
      <c r="AE12" s="432">
        <f t="shared" si="3"/>
        <v>0</v>
      </c>
      <c r="AF12" s="432">
        <f t="shared" si="3"/>
        <v>0</v>
      </c>
      <c r="AG12" s="417">
        <f>AU12</f>
        <v>2500</v>
      </c>
      <c r="AH12" s="421">
        <f>(Y12*0.5+AE12)*BT12</f>
        <v>875.15</v>
      </c>
      <c r="AI12" s="463">
        <f>U12*U8</f>
        <v>0</v>
      </c>
      <c r="AJ12" s="463">
        <f t="shared" ref="AJ12:AT12" si="4">V12*V8</f>
        <v>0</v>
      </c>
      <c r="AK12" s="463">
        <f t="shared" si="4"/>
        <v>0</v>
      </c>
      <c r="AL12" s="463">
        <f t="shared" si="4"/>
        <v>0</v>
      </c>
      <c r="AM12" s="463">
        <f t="shared" si="4"/>
        <v>2500</v>
      </c>
      <c r="AN12" s="463">
        <f t="shared" si="4"/>
        <v>0</v>
      </c>
      <c r="AO12" s="463">
        <f t="shared" si="4"/>
        <v>0</v>
      </c>
      <c r="AP12" s="463">
        <f t="shared" si="4"/>
        <v>0</v>
      </c>
      <c r="AQ12" s="463">
        <f t="shared" si="4"/>
        <v>0</v>
      </c>
      <c r="AR12" s="463">
        <f t="shared" si="4"/>
        <v>0</v>
      </c>
      <c r="AS12" s="463">
        <f t="shared" si="4"/>
        <v>0</v>
      </c>
      <c r="AT12" s="463">
        <f t="shared" si="4"/>
        <v>0</v>
      </c>
      <c r="AU12" s="463">
        <f t="shared" ref="AU12:AU15" si="5">SUM(AI12:AT12)</f>
        <v>2500</v>
      </c>
      <c r="AV12" s="453"/>
      <c r="AW12" s="453"/>
      <c r="AX12" s="3"/>
      <c r="AY12" s="3"/>
      <c r="AZ12" s="200"/>
      <c r="BA12" s="200"/>
      <c r="BB12" s="200"/>
      <c r="BC12" s="200"/>
      <c r="BD12" s="201">
        <f>IF(AND(BL12&gt;0,BL12&lt;=2500),1,0)</f>
        <v>1</v>
      </c>
      <c r="BE12" s="200"/>
      <c r="BF12" s="200"/>
      <c r="BG12" s="200"/>
      <c r="BH12" s="200"/>
      <c r="BI12" s="200"/>
      <c r="BJ12" s="201">
        <f>IF(AND(BL12&gt;2500,BL12&lt;=5025),BM12+1,BM12)</f>
        <v>0</v>
      </c>
      <c r="BK12" s="200"/>
      <c r="BL12" s="202">
        <f>N12-BC6*BM12</f>
        <v>1600</v>
      </c>
      <c r="BM12" s="201">
        <f>INT(N12/BC6)</f>
        <v>0</v>
      </c>
      <c r="BN12" s="141"/>
      <c r="BO12" s="141"/>
      <c r="BP12" s="188"/>
      <c r="BQ12" s="188"/>
      <c r="BR12" s="188"/>
      <c r="BS12" s="144"/>
      <c r="BT12" s="144">
        <f t="array" ref="BT12">INDEX(Цены!J:J,MATCH(J12&amp;$E$7,Цены!C:C&amp;Цены!G:G,0))</f>
        <v>1750.3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431" t="s">
        <v>3</v>
      </c>
      <c r="K13" s="238" t="s">
        <v>259</v>
      </c>
      <c r="L13" s="125">
        <f>K5-78</f>
        <v>712</v>
      </c>
      <c r="M13" s="126">
        <f>IF(AND(E3&gt;0,E8=BV17),4,IF(AND(E3&gt;0,OR(E8=BV15,E8=BV16,E8=BV18)),E9*2,0))</f>
        <v>2</v>
      </c>
      <c r="N13" s="125">
        <f>L13*M13</f>
        <v>1424</v>
      </c>
      <c r="O13" s="422">
        <f>BM13+IF(BL13&gt;0,1,0)</f>
        <v>1</v>
      </c>
      <c r="P13" s="269"/>
      <c r="Q13" s="269"/>
      <c r="R13" s="260">
        <f>O13*BT13</f>
        <v>3020.94</v>
      </c>
      <c r="S13" s="255"/>
      <c r="T13" s="436" t="str">
        <f t="shared" ref="T13" si="6">J13</f>
        <v>рамка верхняя</v>
      </c>
      <c r="U13" s="432">
        <f t="shared" ref="U13:U15" si="7">IF($Z$3=$CE$21,AZ13,IF($Z$3=$CE$27,AZ41,IF($Z$3=$CE$28,AZ56,AZ26)))</f>
        <v>0</v>
      </c>
      <c r="V13" s="432">
        <f t="shared" ref="V13:V15" si="8">IF($Z$3=$CE$21,BA13,IF($Z$3=$CE$27,BA41,IF($Z$3=$CE$28,BA56,BA26)))</f>
        <v>0</v>
      </c>
      <c r="W13" s="432">
        <f t="shared" ref="W13:W15" si="9">IF($Z$3=$CE$21,BB13,IF($Z$3=$CE$27,BB41,IF($Z$3=$CE$28,BB56,BB26)))</f>
        <v>0</v>
      </c>
      <c r="X13" s="432">
        <f t="shared" ref="X13:X15" si="10">IF($Z$3=$CE$21,BC13,IF($Z$3=$CE$27,BC41,IF($Z$3=$CE$28,BC56,BC26)))</f>
        <v>1</v>
      </c>
      <c r="Y13" s="432">
        <f t="shared" ref="Y13:Y15" si="11">IF($Z$3=$CE$21,BD13,IF($Z$3=$CE$27,BD41,IF($Z$3=$CE$28,BD56,BD26)))</f>
        <v>0</v>
      </c>
      <c r="Z13" s="432">
        <f t="shared" ref="Z13:Z15" si="12">IF($Z$3=$CE$21,BE13,IF($Z$3=$CE$27,BE41,IF($Z$3=$CE$28,BE56,BE26)))</f>
        <v>0</v>
      </c>
      <c r="AA13" s="432">
        <f t="shared" ref="AA13:AA15" si="13">IF($Z$3=$CE$21,BF13,IF($Z$3=$CE$27,BF41,IF($Z$3=$CE$28,BF56,BF26)))</f>
        <v>0</v>
      </c>
      <c r="AB13" s="432">
        <f t="shared" ref="AB13:AB15" si="14">IF($Z$3=$CE$21,BG13,IF($Z$3=$CE$27,BG41,IF($Z$3=$CE$28,BG56,BG26)))</f>
        <v>0</v>
      </c>
      <c r="AC13" s="432">
        <f t="shared" ref="AC13:AC15" si="15">IF($Z$3=$CE$21,BH13,IF($Z$3=$CE$27,BH41,IF($Z$3=$CE$28,BH56,BH26)))</f>
        <v>0</v>
      </c>
      <c r="AD13" s="432">
        <f t="shared" ref="AD13:AD15" si="16">IF($Z$3=$CE$21,BI13,IF($Z$3=$CE$27,BI41,IF($Z$3=$CE$28,BI56,BI26)))</f>
        <v>0</v>
      </c>
      <c r="AE13" s="432">
        <f t="shared" ref="AE13:AE15" si="17">IF($Z$3=$CE$21,BJ13,IF($Z$3=$CE$27,BJ41,IF($Z$3=$CE$28,BJ56,BJ26)))</f>
        <v>0</v>
      </c>
      <c r="AF13" s="432">
        <f t="shared" ref="AF13:AF15" si="18">IF($Z$3=$CE$21,BK13,IF($Z$3=$CE$27,BK41,IF($Z$3=$CE$28,BK56,BK26)))</f>
        <v>0</v>
      </c>
      <c r="AG13" s="417">
        <f t="shared" ref="AG13:AG15" si="19">AU13</f>
        <v>2000</v>
      </c>
      <c r="AH13" s="421">
        <f>(U13*0.2+V13*0.25+X13*0.4+Y13*0.5+AA13*0.6+AC13*0.75+AD13*0.8+AE13)*BT13</f>
        <v>1208.376</v>
      </c>
      <c r="AI13" s="463">
        <f>U13*U8</f>
        <v>0</v>
      </c>
      <c r="AJ13" s="463">
        <f t="shared" ref="AJ13:AT13" si="20">V13*V8</f>
        <v>0</v>
      </c>
      <c r="AK13" s="463">
        <f t="shared" si="20"/>
        <v>0</v>
      </c>
      <c r="AL13" s="463">
        <f t="shared" si="20"/>
        <v>2000</v>
      </c>
      <c r="AM13" s="463">
        <f t="shared" si="20"/>
        <v>0</v>
      </c>
      <c r="AN13" s="463">
        <f t="shared" si="20"/>
        <v>0</v>
      </c>
      <c r="AO13" s="463">
        <f t="shared" si="20"/>
        <v>0</v>
      </c>
      <c r="AP13" s="463">
        <f t="shared" si="20"/>
        <v>0</v>
      </c>
      <c r="AQ13" s="463">
        <f t="shared" si="20"/>
        <v>0</v>
      </c>
      <c r="AR13" s="463">
        <f t="shared" si="20"/>
        <v>0</v>
      </c>
      <c r="AS13" s="463">
        <f t="shared" si="20"/>
        <v>0</v>
      </c>
      <c r="AT13" s="463">
        <f t="shared" si="20"/>
        <v>0</v>
      </c>
      <c r="AU13" s="463">
        <f t="shared" si="5"/>
        <v>2000</v>
      </c>
      <c r="AV13" s="453"/>
      <c r="AW13" s="453"/>
      <c r="AX13" s="363">
        <v>0.47399999999999998</v>
      </c>
      <c r="AY13" s="3">
        <f>AX13*L13*M13/1000</f>
        <v>0.67497600000000002</v>
      </c>
      <c r="AZ13" s="141">
        <f>IF(AND(BL13&gt;0,BL13&lt;=1000),1,0)</f>
        <v>0</v>
      </c>
      <c r="BA13" s="143"/>
      <c r="BB13" s="143"/>
      <c r="BC13" s="141">
        <f>IF(AND(BL13&gt;1000,BL13&lt;=2000),1,0)</f>
        <v>1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0</v>
      </c>
      <c r="BJ13" s="141">
        <f>IF(AND(BL13&gt;4000,BL13&lt;=4950),BM13+1,BM13)</f>
        <v>0</v>
      </c>
      <c r="BK13" s="143"/>
      <c r="BL13" s="185">
        <f>N13-INT($BC$5/L13)*L13*BM13</f>
        <v>1424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3020.94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133" t="str">
        <f>E6</f>
        <v>рамка средняя 4в1</v>
      </c>
      <c r="K14" s="238" t="str">
        <f>IF(J14=BY6,BZ6,BZ7)</f>
        <v>FA0716.VP500</v>
      </c>
      <c r="L14" s="125">
        <f>IF(AND(E6=BY7,E5&gt;0),K5-78,IF(AND(E6=BY6,E5&gt;0),K5-76,0))</f>
        <v>0</v>
      </c>
      <c r="M14" s="126">
        <f>IF(AND(E8=BV17,E5&gt;0),E5*2,E5*E9)</f>
        <v>0</v>
      </c>
      <c r="N14" s="125">
        <f>L14*M14</f>
        <v>0</v>
      </c>
      <c r="O14" s="422">
        <f>IF(J14=BY7,BM14+IF(BL14&gt;0,1,0),BP14+IF(BO14&gt;0,1,0))</f>
        <v>0</v>
      </c>
      <c r="P14" s="269"/>
      <c r="Q14" s="269"/>
      <c r="R14" s="260">
        <f>O14*BT14</f>
        <v>0</v>
      </c>
      <c r="S14" s="255"/>
      <c r="T14" s="436" t="str">
        <f>J14</f>
        <v>рамка средняя 4в1</v>
      </c>
      <c r="U14" s="432">
        <f t="shared" si="7"/>
        <v>0</v>
      </c>
      <c r="V14" s="432">
        <f t="shared" si="8"/>
        <v>0</v>
      </c>
      <c r="W14" s="432">
        <f t="shared" si="9"/>
        <v>0</v>
      </c>
      <c r="X14" s="432">
        <f t="shared" si="10"/>
        <v>0</v>
      </c>
      <c r="Y14" s="432">
        <f t="shared" si="11"/>
        <v>0</v>
      </c>
      <c r="Z14" s="432">
        <f t="shared" si="12"/>
        <v>0</v>
      </c>
      <c r="AA14" s="432">
        <f t="shared" si="13"/>
        <v>0</v>
      </c>
      <c r="AB14" s="432">
        <f t="shared" si="14"/>
        <v>0</v>
      </c>
      <c r="AC14" s="432">
        <f t="shared" si="15"/>
        <v>0</v>
      </c>
      <c r="AD14" s="432">
        <f t="shared" si="16"/>
        <v>0</v>
      </c>
      <c r="AE14" s="432">
        <f t="shared" si="17"/>
        <v>0</v>
      </c>
      <c r="AF14" s="432">
        <f t="shared" si="18"/>
        <v>0</v>
      </c>
      <c r="AG14" s="417">
        <f t="shared" si="19"/>
        <v>0</v>
      </c>
      <c r="AH14" s="229">
        <f>IF(E6=BY6,AW15,AV15)</f>
        <v>0</v>
      </c>
      <c r="AI14" s="463">
        <f>U14*U8</f>
        <v>0</v>
      </c>
      <c r="AJ14" s="463">
        <f t="shared" ref="AJ14:AT14" si="21">V14*V8</f>
        <v>0</v>
      </c>
      <c r="AK14" s="463">
        <f t="shared" si="21"/>
        <v>0</v>
      </c>
      <c r="AL14" s="463">
        <f t="shared" si="21"/>
        <v>0</v>
      </c>
      <c r="AM14" s="463">
        <f t="shared" si="21"/>
        <v>0</v>
      </c>
      <c r="AN14" s="463">
        <f t="shared" si="21"/>
        <v>0</v>
      </c>
      <c r="AO14" s="463">
        <f t="shared" si="21"/>
        <v>0</v>
      </c>
      <c r="AP14" s="463">
        <f t="shared" si="21"/>
        <v>0</v>
      </c>
      <c r="AQ14" s="463">
        <f t="shared" si="21"/>
        <v>0</v>
      </c>
      <c r="AR14" s="463">
        <f t="shared" si="21"/>
        <v>0</v>
      </c>
      <c r="AS14" s="463">
        <f t="shared" si="21"/>
        <v>0</v>
      </c>
      <c r="AT14" s="463">
        <f t="shared" si="21"/>
        <v>0</v>
      </c>
      <c r="AU14" s="463">
        <f t="shared" si="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IF(AND(E6=BY7,E5&lt;&gt;0),INT(M14/INT(BC5/L14)),0)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3539.74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31" t="s">
        <v>6</v>
      </c>
      <c r="K15" s="238" t="s">
        <v>193</v>
      </c>
      <c r="L15" s="125">
        <f>IF(OR(E8=BV17,E8=BV15,E8=BV16),L13-50,0)</f>
        <v>662</v>
      </c>
      <c r="M15" s="126">
        <f>IF(OR(E8=BV15,E8=BV16),E9,IF(E8=BV17,2,0))</f>
        <v>1</v>
      </c>
      <c r="N15" s="125">
        <f t="shared" ref="N15" si="22">L15*M15</f>
        <v>662</v>
      </c>
      <c r="O15" s="339">
        <f>CEILING((L15*M15)/5400,1)</f>
        <v>1</v>
      </c>
      <c r="P15" s="269"/>
      <c r="Q15" s="269"/>
      <c r="R15" s="260">
        <f>O15*BT15</f>
        <v>939.08</v>
      </c>
      <c r="S15" s="255"/>
      <c r="T15" s="436" t="str">
        <f>J15</f>
        <v>профиль "П"</v>
      </c>
      <c r="U15" s="432">
        <f t="shared" si="7"/>
        <v>0</v>
      </c>
      <c r="V15" s="432">
        <f t="shared" si="8"/>
        <v>0</v>
      </c>
      <c r="W15" s="432">
        <f t="shared" si="9"/>
        <v>0</v>
      </c>
      <c r="X15" s="432">
        <f t="shared" si="10"/>
        <v>0</v>
      </c>
      <c r="Y15" s="432">
        <f t="shared" si="11"/>
        <v>0</v>
      </c>
      <c r="Z15" s="432">
        <f t="shared" si="12"/>
        <v>1</v>
      </c>
      <c r="AA15" s="432">
        <f t="shared" si="13"/>
        <v>0</v>
      </c>
      <c r="AB15" s="432">
        <f t="shared" si="14"/>
        <v>0</v>
      </c>
      <c r="AC15" s="432">
        <f t="shared" si="15"/>
        <v>0</v>
      </c>
      <c r="AD15" s="432">
        <f t="shared" si="16"/>
        <v>0</v>
      </c>
      <c r="AE15" s="432">
        <f t="shared" si="17"/>
        <v>0</v>
      </c>
      <c r="AF15" s="432">
        <f t="shared" si="18"/>
        <v>0</v>
      </c>
      <c r="AG15" s="417">
        <f t="shared" si="19"/>
        <v>2700</v>
      </c>
      <c r="AH15" s="240">
        <f>Z15*BT15*0.5+AF15*BT15</f>
        <v>469.54</v>
      </c>
      <c r="AI15" s="463">
        <f>U15*U8</f>
        <v>0</v>
      </c>
      <c r="AJ15" s="463">
        <f t="shared" ref="AJ15:AT15" si="23">V15*V8</f>
        <v>0</v>
      </c>
      <c r="AK15" s="463">
        <f t="shared" si="23"/>
        <v>0</v>
      </c>
      <c r="AL15" s="463">
        <f t="shared" si="23"/>
        <v>0</v>
      </c>
      <c r="AM15" s="463">
        <f t="shared" si="23"/>
        <v>0</v>
      </c>
      <c r="AN15" s="463">
        <f t="shared" si="23"/>
        <v>2700</v>
      </c>
      <c r="AO15" s="463">
        <f t="shared" si="23"/>
        <v>0</v>
      </c>
      <c r="AP15" s="463">
        <f t="shared" si="23"/>
        <v>0</v>
      </c>
      <c r="AQ15" s="463">
        <f t="shared" si="23"/>
        <v>0</v>
      </c>
      <c r="AR15" s="463">
        <f t="shared" si="23"/>
        <v>0</v>
      </c>
      <c r="AS15" s="463">
        <f t="shared" si="23"/>
        <v>0</v>
      </c>
      <c r="AT15" s="463">
        <f t="shared" si="23"/>
        <v>0</v>
      </c>
      <c r="AU15" s="463">
        <f t="shared" si="5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/>
      <c r="BA15" s="192"/>
      <c r="BB15" s="192"/>
      <c r="BC15" s="192"/>
      <c r="BD15" s="192"/>
      <c r="BE15" s="141">
        <f>IF(AND(BO15&gt;0,BO15&lt;=2700),1,0)</f>
        <v>1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662</v>
      </c>
      <c r="BP15" s="185">
        <f>INT(N15/BC7)</f>
        <v>0</v>
      </c>
      <c r="BQ15" s="185"/>
      <c r="BR15" s="185"/>
      <c r="BS15" s="5"/>
      <c r="BT15" s="144">
        <f>Цены!J85</f>
        <v>939.08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16091.31</v>
      </c>
      <c r="S16" s="274"/>
      <c r="T16" s="361"/>
      <c r="U16" s="525" t="s">
        <v>103</v>
      </c>
      <c r="V16" s="525"/>
      <c r="W16" s="525"/>
      <c r="X16" s="525"/>
      <c r="Y16" s="525"/>
      <c r="Z16" s="525"/>
      <c r="AA16" s="525"/>
      <c r="AB16" s="525"/>
      <c r="AC16" s="525"/>
      <c r="AD16" s="525"/>
      <c r="AE16" s="525"/>
      <c r="AF16" s="525"/>
      <c r="AG16" s="526"/>
      <c r="AH16" s="134">
        <f>SUM(AH9:AH15)</f>
        <v>10245.166000000001</v>
      </c>
      <c r="AI16" s="464"/>
      <c r="AJ16" s="464"/>
      <c r="AK16" s="464"/>
      <c r="AL16" s="464"/>
      <c r="AM16" s="464"/>
      <c r="AN16" s="464"/>
      <c r="AO16" s="464"/>
      <c r="AP16" s="464"/>
      <c r="AQ16" s="464"/>
      <c r="AR16" s="464"/>
      <c r="AS16" s="464"/>
      <c r="AT16" s="464"/>
      <c r="AU16" s="464"/>
      <c r="AV16" s="453"/>
      <c r="AW16" s="464"/>
      <c r="AX16" s="368"/>
      <c r="AY16" s="3"/>
      <c r="AZ16" s="5"/>
      <c r="BA16" s="5"/>
      <c r="BB16" s="5"/>
      <c r="BC16" s="5"/>
      <c r="BD16" s="5"/>
      <c r="BE16" s="241" t="s">
        <v>431</v>
      </c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328" t="s">
        <v>109</v>
      </c>
      <c r="D17" s="70" t="s">
        <v>78</v>
      </c>
      <c r="E17" s="328" t="s">
        <v>110</v>
      </c>
      <c r="F17" s="328" t="s">
        <v>111</v>
      </c>
      <c r="G17" s="328" t="s">
        <v>127</v>
      </c>
      <c r="H17" s="71" t="s">
        <v>128</v>
      </c>
      <c r="J17" s="109"/>
      <c r="K17" s="5"/>
      <c r="L17" s="5"/>
      <c r="M17" s="5"/>
      <c r="N17" s="5"/>
      <c r="O17" s="11"/>
      <c r="S17" s="278"/>
      <c r="AI17" s="453"/>
      <c r="AJ17" s="453"/>
      <c r="AK17" s="453"/>
      <c r="AL17" s="453"/>
      <c r="AM17" s="453"/>
      <c r="AN17" s="453"/>
      <c r="AO17" s="453"/>
      <c r="AP17" s="453"/>
      <c r="AQ17" s="453"/>
      <c r="AR17" s="453"/>
      <c r="AS17" s="453"/>
      <c r="AT17" s="453"/>
      <c r="AU17" s="453"/>
      <c r="AV17" s="453"/>
      <c r="AW17" s="453"/>
      <c r="AY17" s="54">
        <f>IF(E6=BY6,AY9+AY13+AY15,AY9+AY13+AY14)</f>
        <v>4.2008759999999992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K4-IF(E22=0,0,IF(C22=BV10,E22,IF(C22=BV11,E22+2,E22+3)))-IF(E21=0,0,IF(C21=BV10,E21,IF(C21=BV11,E21+2,E21+3)))-IF(E20=0,0,IF(C20=BV10,E20,IF(C20=BV11,E20+2,E20+3)))-IF(E19=0,0,IF(C19=BV10,E19,IF(C19=BV11,E19+2,E19+3)))-44-IF(C18=BV11,2,IF(C18=BV12,3,0))-E5*CA6</f>
        <v>2508</v>
      </c>
      <c r="F18" s="73">
        <f>IF(C18=$BV$12,$K$5-63,IF(C18=$BV$11,$K$5-62,$K$5-60))</f>
        <v>727</v>
      </c>
      <c r="G18" s="74">
        <f>IF(E8=BV17,2,$E$9)</f>
        <v>1</v>
      </c>
      <c r="H18" s="75">
        <f>E18*F18*D18*G18/1000000</f>
        <v>0</v>
      </c>
      <c r="J18" s="429"/>
      <c r="K18" s="416"/>
      <c r="L18" s="416"/>
      <c r="M18" s="416"/>
      <c r="N18" s="416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594" t="s">
        <v>102</v>
      </c>
      <c r="AD18" s="594"/>
      <c r="AE18" s="594"/>
      <c r="AF18" s="594"/>
      <c r="AG18" s="594"/>
      <c r="AH18" s="263">
        <f>AH16+R32+H23</f>
        <v>13802.626</v>
      </c>
      <c r="AI18" s="451"/>
      <c r="AJ18" s="451"/>
      <c r="AK18" s="451"/>
      <c r="AL18" s="451"/>
      <c r="AM18" s="451"/>
      <c r="AN18" s="451"/>
      <c r="AO18" s="451"/>
      <c r="AP18" s="451"/>
      <c r="AQ18" s="451"/>
      <c r="AR18" s="451"/>
      <c r="AS18" s="451"/>
      <c r="AT18" s="451"/>
      <c r="AU18" s="451"/>
      <c r="AV18" s="451"/>
      <c r="AW18" s="451"/>
      <c r="AX18" s="3"/>
      <c r="AY18" s="289">
        <f>IF(E8=BV17,AY17/2,AY17/E9)</f>
        <v>4.2008759999999992</v>
      </c>
      <c r="AZ18" s="141" t="s">
        <v>263</v>
      </c>
      <c r="BA18" s="141"/>
      <c r="BB18" s="141"/>
      <c r="BC18" s="185">
        <v>5000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10</v>
      </c>
      <c r="D19" s="95">
        <v>0</v>
      </c>
      <c r="E19" s="17">
        <v>0</v>
      </c>
      <c r="F19" s="73">
        <f>IF(C19=$BV$12,$K$5-63,IF(C19=$BV$11,$K$5-62,$K$5-60))</f>
        <v>730</v>
      </c>
      <c r="G19" s="74">
        <f>IF(E19=0,0,IF($E$8=$BV$17,2,$E$9))</f>
        <v>0</v>
      </c>
      <c r="H19" s="75">
        <f t="shared" ref="H19:H22" si="24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69"/>
      <c r="AJ19" s="469"/>
      <c r="AK19" s="469"/>
      <c r="AL19" s="469"/>
      <c r="AM19" s="469"/>
      <c r="AN19" s="469"/>
      <c r="AO19" s="469"/>
      <c r="AP19" s="469"/>
      <c r="AQ19" s="469"/>
      <c r="AR19" s="469"/>
      <c r="AS19" s="469"/>
      <c r="AT19" s="469"/>
      <c r="AU19" s="469"/>
      <c r="AV19" s="469"/>
      <c r="AW19" s="469"/>
      <c r="AX19" s="6"/>
      <c r="AZ19" s="141" t="s">
        <v>264</v>
      </c>
      <c r="BA19" s="141"/>
      <c r="BB19" s="141"/>
      <c r="BC19" s="141">
        <v>5075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/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10</v>
      </c>
      <c r="D20" s="95">
        <v>0</v>
      </c>
      <c r="E20" s="17">
        <v>0</v>
      </c>
      <c r="F20" s="73">
        <f>IF(C20=$BV$12,$K$5-63,IF(C20=$BV$11,$K$5-62,$K$5-60))</f>
        <v>730</v>
      </c>
      <c r="G20" s="74">
        <f>IF(E20=0,0,IF($E$8=$BV$17,2,$E$9))</f>
        <v>0</v>
      </c>
      <c r="H20" s="75">
        <f t="shared" si="24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51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/>
      <c r="AU20" s="451"/>
      <c r="AV20" s="451"/>
      <c r="AW20" s="451"/>
      <c r="AX20" s="5"/>
      <c r="AY20" s="5"/>
      <c r="AZ20" s="185" t="s">
        <v>265</v>
      </c>
      <c r="BA20" s="185"/>
      <c r="BB20" s="185"/>
      <c r="BC20" s="141">
        <v>5400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IF(C21=$BV$12,$K$5-63,IF(C21=$BV$11,$K$5-62,$K$5-60))</f>
        <v>727</v>
      </c>
      <c r="G21" s="74">
        <f>IF(E21=0,0,IF($E$8=$BV$17,2,$E$9))</f>
        <v>0</v>
      </c>
      <c r="H21" s="75">
        <f t="shared" si="24"/>
        <v>0</v>
      </c>
      <c r="J21" s="576" t="s">
        <v>181</v>
      </c>
      <c r="K21" s="487"/>
      <c r="L21" s="487"/>
      <c r="M21" s="416"/>
      <c r="N21" s="5"/>
      <c r="O21" s="111"/>
      <c r="P21" s="18"/>
      <c r="Q21" s="18"/>
      <c r="R21" s="281"/>
      <c r="S21" s="18"/>
      <c r="T21" s="140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5"/>
      <c r="AH21" s="303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425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IF(C22=$BV$12,$K$5-63,IF(C22=$BV$11,$K$5-62,$K$5-60))</f>
        <v>727</v>
      </c>
      <c r="G22" s="74">
        <f>IF(E22=0,0,IF($E$8=$BV$17,2,$E$9))</f>
        <v>0</v>
      </c>
      <c r="H22" s="75">
        <f t="shared" si="24"/>
        <v>0</v>
      </c>
      <c r="J22" s="481" t="s">
        <v>0</v>
      </c>
      <c r="K22" s="482"/>
      <c r="L22" s="482"/>
      <c r="M22" s="482"/>
      <c r="N22" s="412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63"/>
      <c r="AJ22" s="463"/>
      <c r="AK22" s="463"/>
      <c r="AL22" s="463"/>
      <c r="AM22" s="463"/>
      <c r="AN22" s="463"/>
      <c r="AO22" s="463"/>
      <c r="AP22" s="463"/>
      <c r="AQ22" s="463"/>
      <c r="AR22" s="463"/>
      <c r="AS22" s="463"/>
      <c r="AT22" s="463"/>
      <c r="AU22" s="463"/>
      <c r="AV22" s="463"/>
      <c r="AW22" s="463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1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430</v>
      </c>
    </row>
    <row r="23" spans="2:84" ht="25.05" customHeight="1" thickBot="1" x14ac:dyDescent="0.35">
      <c r="B23" s="66"/>
      <c r="C23" s="67"/>
      <c r="D23" s="67"/>
      <c r="E23" s="521" t="s">
        <v>79</v>
      </c>
      <c r="F23" s="521"/>
      <c r="G23" s="522"/>
      <c r="H23" s="323">
        <f>SUM(H18:H22)</f>
        <v>0</v>
      </c>
      <c r="J23" s="599" t="s">
        <v>54</v>
      </c>
      <c r="K23" s="600"/>
      <c r="L23" s="600"/>
      <c r="M23" s="600"/>
      <c r="N23" s="238" t="s">
        <v>194</v>
      </c>
      <c r="O23" s="231">
        <f>CEILING(IF(OR(E8=BV15,E8=BV16),0.5*E9,IF(E8=BV17,1,E9)),1)</f>
        <v>1</v>
      </c>
      <c r="P23" s="250"/>
      <c r="Q23" s="250"/>
      <c r="R23" s="287">
        <f>O23*Цены!J131</f>
        <v>3046.91</v>
      </c>
      <c r="S23" s="273"/>
      <c r="T23" s="447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47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3"/>
      <c r="AT23" s="463"/>
      <c r="AU23" s="463"/>
      <c r="AV23" s="463"/>
      <c r="AW23" s="463"/>
      <c r="AX23" s="5"/>
      <c r="AZ23" s="197"/>
      <c r="BA23" s="197"/>
      <c r="BB23" s="197"/>
      <c r="BC23" s="197"/>
      <c r="BD23" s="198">
        <f>IF(AND(BL23&gt;0,BL23&lt;=2500),1,0)</f>
        <v>1</v>
      </c>
      <c r="BE23" s="197"/>
      <c r="BF23" s="197"/>
      <c r="BG23" s="197"/>
      <c r="BH23" s="197"/>
      <c r="BI23" s="197"/>
      <c r="BJ23" s="198">
        <f>IF(AND(BL23&gt;2500,BL23&lt;=4950),BM23+1,BM23)</f>
        <v>0</v>
      </c>
      <c r="BK23" s="197"/>
      <c r="BL23" s="199">
        <f>BL10</f>
        <v>670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427</v>
      </c>
    </row>
    <row r="24" spans="2:84" ht="25.05" customHeight="1" x14ac:dyDescent="0.3">
      <c r="B24" s="66"/>
      <c r="C24" s="614" t="str">
        <f>IF((SUM(BZ18:BZ22)/C14)&lt;&gt;1,BV45,BV46)</f>
        <v>Верно внесены высоты вставок</v>
      </c>
      <c r="D24" s="615"/>
      <c r="E24" s="329">
        <f>IF(C24=BV46,1,0)</f>
        <v>1</v>
      </c>
      <c r="F24" s="329"/>
      <c r="G24" s="329"/>
      <c r="H24" s="68"/>
      <c r="J24" s="523" t="s">
        <v>228</v>
      </c>
      <c r="K24" s="524"/>
      <c r="L24" s="524"/>
      <c r="M24" s="524"/>
      <c r="N24" s="235" t="s">
        <v>195</v>
      </c>
      <c r="O24" s="231">
        <f>M13*2+M14*2</f>
        <v>4</v>
      </c>
      <c r="P24" s="250"/>
      <c r="Q24" s="250"/>
      <c r="R24" s="287">
        <f>O24*Цены!J184</f>
        <v>36.479999999999997</v>
      </c>
      <c r="S24" s="273"/>
      <c r="T24" s="447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47"/>
      <c r="AI24" s="463"/>
      <c r="AJ24" s="463"/>
      <c r="AK24" s="463"/>
      <c r="AL24" s="463"/>
      <c r="AM24" s="463"/>
      <c r="AN24" s="463"/>
      <c r="AO24" s="463"/>
      <c r="AP24" s="463"/>
      <c r="AQ24" s="463"/>
      <c r="AR24" s="463"/>
      <c r="AS24" s="463"/>
      <c r="AT24" s="463"/>
      <c r="AU24" s="463"/>
      <c r="AV24" s="463"/>
      <c r="AW24" s="463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428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599" t="s">
        <v>82</v>
      </c>
      <c r="K25" s="600"/>
      <c r="L25" s="600"/>
      <c r="M25" s="600"/>
      <c r="N25" s="236" t="s">
        <v>262</v>
      </c>
      <c r="O25" s="233">
        <f>ROUNDUP((IF(C18=BV11,(E18+F18)*2*G18,0)+IF(C19=BV11,(E19+F19)*2*G19,0)+IF(C20=BV11,(E20+F20)*2*G20,0)+IF(C21=BV11,(E21+F21)*2*G21,0)+IF(C22=BV11,(E22+F22)*2*G22,0))/1000,0)</f>
        <v>0</v>
      </c>
      <c r="P25" s="252"/>
      <c r="Q25" s="252"/>
      <c r="R25" s="287">
        <f>O25*Цены!J177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44"/>
      <c r="AH25" s="442"/>
      <c r="AI25" s="453"/>
      <c r="AJ25" s="453"/>
      <c r="AK25" s="453"/>
      <c r="AL25" s="453"/>
      <c r="AM25" s="453"/>
      <c r="AN25" s="453"/>
      <c r="AO25" s="453"/>
      <c r="AP25" s="453"/>
      <c r="AQ25" s="453"/>
      <c r="AR25" s="453"/>
      <c r="AS25" s="453"/>
      <c r="AT25" s="453"/>
      <c r="AU25" s="453"/>
      <c r="AV25" s="453"/>
      <c r="AW25" s="453"/>
      <c r="AX25" s="5"/>
      <c r="AZ25" s="200"/>
      <c r="BA25" s="200"/>
      <c r="BB25" s="200"/>
      <c r="BC25" s="200"/>
      <c r="BD25" s="201">
        <f>IF(AND(BL25&gt;0,BL25&lt;=2500),1,0)</f>
        <v>1</v>
      </c>
      <c r="BE25" s="200"/>
      <c r="BF25" s="200"/>
      <c r="BG25" s="200"/>
      <c r="BH25" s="200"/>
      <c r="BI25" s="200"/>
      <c r="BJ25" s="201">
        <f>IF(AND(BL25&gt;2500,BL25&lt;=5025),BM25+1,BM25)</f>
        <v>0</v>
      </c>
      <c r="BK25" s="200"/>
      <c r="BL25" s="199">
        <f t="shared" ref="BL25:BM25" si="25">BL12</f>
        <v>1600</v>
      </c>
      <c r="BM25" s="199">
        <f t="shared" si="25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429</v>
      </c>
    </row>
    <row r="26" spans="2:84" ht="25.05" customHeight="1" x14ac:dyDescent="0.3">
      <c r="B26" s="66"/>
      <c r="C26" s="84"/>
      <c r="D26" s="84"/>
      <c r="E26" s="85"/>
      <c r="F26" s="85"/>
      <c r="G26" s="85"/>
      <c r="H26" s="68"/>
      <c r="J26" s="535" t="s">
        <v>84</v>
      </c>
      <c r="K26" s="536"/>
      <c r="L26" s="536"/>
      <c r="M26" s="536"/>
      <c r="N26" s="236" t="s">
        <v>196</v>
      </c>
      <c r="O26" s="233">
        <f>ROUNDUP((IF(C18=BV12,(E18+F18)*2*G18,0)+IF(C19=BV12,(E19+F19)*2*G19,0)+IF(C20=BV12,(E20+F20)*2*G20,0)+IF(C21=BV12,(E21+F21)*2*G21,0)+IF(C22=BV12,(E22+F22)*2*G22,0))/1000,0)</f>
        <v>7</v>
      </c>
      <c r="P26" s="252"/>
      <c r="Q26" s="252"/>
      <c r="R26" s="286">
        <f>O26*Цены!J178</f>
        <v>272.37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44"/>
      <c r="AH26" s="442"/>
      <c r="AI26" s="453"/>
      <c r="AJ26" s="453"/>
      <c r="AK26" s="453"/>
      <c r="AL26" s="453"/>
      <c r="AM26" s="453"/>
      <c r="AN26" s="453"/>
      <c r="AO26" s="453"/>
      <c r="AP26" s="453"/>
      <c r="AQ26" s="453"/>
      <c r="AR26" s="453"/>
      <c r="AS26" s="453"/>
      <c r="AT26" s="453"/>
      <c r="AU26" s="453"/>
      <c r="AV26" s="453"/>
      <c r="AW26" s="453"/>
      <c r="AX26" s="5"/>
      <c r="AZ26" s="143"/>
      <c r="BA26" s="141">
        <f>IF(AND(BL26&gt;0,BL26&lt;=1250),1,0)</f>
        <v>0</v>
      </c>
      <c r="BB26" s="143"/>
      <c r="BC26" s="143"/>
      <c r="BD26" s="141">
        <f>IF(AND(BL26&gt;1250,BL26&lt;=2500),1,0)</f>
        <v>1</v>
      </c>
      <c r="BE26" s="143"/>
      <c r="BF26" s="143"/>
      <c r="BG26" s="143"/>
      <c r="BH26" s="141">
        <f>IF(AND(BL26&gt;2500,BL26&lt;=3750),1,0)</f>
        <v>0</v>
      </c>
      <c r="BI26" s="143"/>
      <c r="BJ26" s="141">
        <f>IF(AND(BL26&gt;4000,BL26&lt;=4950),BM26+1,BM26)</f>
        <v>0</v>
      </c>
      <c r="BK26" s="143"/>
      <c r="BL26" s="199">
        <f t="shared" ref="BL26:BM26" si="26">BL13</f>
        <v>1424</v>
      </c>
      <c r="BM26" s="199">
        <f t="shared" si="26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426</v>
      </c>
    </row>
    <row r="27" spans="2:84" ht="25.05" customHeight="1" x14ac:dyDescent="0.3">
      <c r="B27" s="66"/>
      <c r="C27" s="67"/>
      <c r="D27" s="67"/>
      <c r="E27" s="67"/>
      <c r="F27" s="67"/>
      <c r="G27" s="5"/>
      <c r="H27" s="11"/>
      <c r="J27" s="599" t="s">
        <v>80</v>
      </c>
      <c r="K27" s="600"/>
      <c r="L27" s="600"/>
      <c r="M27" s="600"/>
      <c r="N27" s="236" t="s">
        <v>197</v>
      </c>
      <c r="O27" s="231">
        <f>IF(E10=BV24,O24,0)</f>
        <v>0</v>
      </c>
      <c r="P27" s="250"/>
      <c r="Q27" s="250"/>
      <c r="R27" s="287">
        <f>O27*Цены!J171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44"/>
      <c r="AH27" s="255"/>
      <c r="AI27" s="453"/>
      <c r="AJ27" s="453"/>
      <c r="AK27" s="453"/>
      <c r="AL27" s="453"/>
      <c r="AM27" s="453"/>
      <c r="AN27" s="453"/>
      <c r="AO27" s="453"/>
      <c r="AP27" s="453"/>
      <c r="AQ27" s="453"/>
      <c r="AR27" s="453"/>
      <c r="AS27" s="453"/>
      <c r="AT27" s="453"/>
      <c r="AU27" s="453"/>
      <c r="AV27" s="453"/>
      <c r="AW27" s="453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527</v>
      </c>
    </row>
    <row r="28" spans="2:84" ht="25.05" customHeight="1" x14ac:dyDescent="0.3">
      <c r="B28" s="66"/>
      <c r="C28" s="574" t="str">
        <f>IF(AND(SUM(BZ18:BZ22)/C14=1,E22=0,C14&lt;&gt;1),BV49,BV50)</f>
        <v xml:space="preserve"> </v>
      </c>
      <c r="D28" s="574"/>
      <c r="E28" s="85"/>
      <c r="F28" s="85"/>
      <c r="G28" s="85"/>
      <c r="H28" s="11"/>
      <c r="J28" s="523" t="s">
        <v>166</v>
      </c>
      <c r="K28" s="524"/>
      <c r="L28" s="524"/>
      <c r="M28" s="524"/>
      <c r="N28" s="237" t="s">
        <v>198</v>
      </c>
      <c r="O28" s="339">
        <f>IF(E10=BV25,O24,0)</f>
        <v>0</v>
      </c>
      <c r="P28" s="249"/>
      <c r="Q28" s="249"/>
      <c r="R28" s="262">
        <f>O28*Цены!J132</f>
        <v>0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44"/>
      <c r="AH28" s="274"/>
      <c r="AI28" s="463"/>
      <c r="AJ28" s="463"/>
      <c r="AK28" s="463"/>
      <c r="AL28" s="463"/>
      <c r="AM28" s="463"/>
      <c r="AN28" s="463"/>
      <c r="AO28" s="463"/>
      <c r="AP28" s="463"/>
      <c r="AQ28" s="463"/>
      <c r="AR28" s="463"/>
      <c r="AS28" s="463"/>
      <c r="AT28" s="463"/>
      <c r="AU28" s="463"/>
      <c r="AV28" s="463"/>
      <c r="AW28" s="463"/>
      <c r="AX28" s="5"/>
      <c r="AZ28" s="192"/>
      <c r="BA28" s="192"/>
      <c r="BB28" s="192"/>
      <c r="BC28" s="192"/>
      <c r="BD28" s="192"/>
      <c r="BE28" s="141">
        <f>IF(AND(BO28&gt;0,BO28&lt;=2700),1,0)</f>
        <v>1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662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525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11"/>
      <c r="J29" s="473" t="s">
        <v>76</v>
      </c>
      <c r="K29" s="474"/>
      <c r="L29" s="474"/>
      <c r="M29" s="474"/>
      <c r="N29" s="235" t="s">
        <v>199</v>
      </c>
      <c r="O29" s="234">
        <f>IF(E10=BV27,ROUNDUP(L9*M9/1000,0),0)</f>
        <v>0</v>
      </c>
      <c r="P29" s="253"/>
      <c r="Q29" s="253"/>
      <c r="R29" s="262">
        <f>O29*Цены!J161</f>
        <v>0</v>
      </c>
      <c r="S29" s="243"/>
      <c r="T29" s="278"/>
      <c r="U29" s="447"/>
      <c r="V29" s="447"/>
      <c r="W29" s="447"/>
      <c r="X29" s="447"/>
      <c r="Y29" s="447"/>
      <c r="Z29" s="447"/>
      <c r="AA29" s="447"/>
      <c r="AB29" s="447"/>
      <c r="AC29" s="447"/>
      <c r="AD29" s="447"/>
      <c r="AE29" s="447"/>
      <c r="AF29" s="447"/>
      <c r="AG29" s="447"/>
      <c r="AH29" s="278"/>
      <c r="AI29" s="464"/>
      <c r="AJ29" s="464"/>
      <c r="AK29" s="464"/>
      <c r="AL29" s="464"/>
      <c r="AM29" s="464"/>
      <c r="AN29" s="464"/>
      <c r="AO29" s="464"/>
      <c r="AP29" s="464"/>
      <c r="AQ29" s="464"/>
      <c r="AR29" s="464"/>
      <c r="AS29" s="464"/>
      <c r="AT29" s="464"/>
      <c r="AU29" s="464"/>
      <c r="AV29" s="464"/>
      <c r="AW29" s="464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6"/>
      <c r="C30" s="67"/>
      <c r="D30" s="67"/>
      <c r="E30" s="67"/>
      <c r="F30" s="67"/>
      <c r="G30" s="67"/>
      <c r="H30" s="11"/>
      <c r="J30" s="473" t="s">
        <v>129</v>
      </c>
      <c r="K30" s="474"/>
      <c r="L30" s="474"/>
      <c r="M30" s="474"/>
      <c r="N30" s="235" t="s">
        <v>200</v>
      </c>
      <c r="O30" s="234">
        <f>IF(E10=BV26,ROUNDUP(L9*M9/1000,0),0)</f>
        <v>6</v>
      </c>
      <c r="P30" s="253"/>
      <c r="Q30" s="253"/>
      <c r="R30" s="262">
        <f>O30*Цены!J180</f>
        <v>138.66</v>
      </c>
      <c r="S30" s="243"/>
      <c r="AI30" s="453"/>
      <c r="AJ30" s="453"/>
      <c r="AK30" s="453"/>
      <c r="AL30" s="453"/>
      <c r="AM30" s="453"/>
      <c r="AN30" s="453"/>
      <c r="AO30" s="453"/>
      <c r="AP30" s="453"/>
      <c r="AQ30" s="453"/>
      <c r="AR30" s="453"/>
      <c r="AS30" s="453"/>
      <c r="AT30" s="453"/>
      <c r="AU30" s="453"/>
      <c r="AV30" s="453"/>
      <c r="AW30" s="453"/>
      <c r="BU30" s="5"/>
      <c r="BV30" s="48">
        <v>0</v>
      </c>
      <c r="BW30" s="5"/>
      <c r="BX30" s="5"/>
      <c r="BY30" s="5"/>
    </row>
    <row r="31" spans="2:84" ht="25.05" customHeight="1" thickBot="1" x14ac:dyDescent="0.4">
      <c r="B31" s="86"/>
      <c r="C31" s="87"/>
      <c r="D31" s="329"/>
      <c r="E31" s="329"/>
      <c r="F31" s="329"/>
      <c r="G31" s="329"/>
      <c r="H31" s="11"/>
      <c r="J31" s="609" t="s">
        <v>161</v>
      </c>
      <c r="K31" s="610"/>
      <c r="L31" s="610"/>
      <c r="M31" s="610"/>
      <c r="N31" s="470" t="s">
        <v>201</v>
      </c>
      <c r="O31" s="455">
        <f>IF(O30&gt;0,M9*2,0)</f>
        <v>4</v>
      </c>
      <c r="P31" s="251"/>
      <c r="Q31" s="251"/>
      <c r="R31" s="305">
        <f>O31*Цены!J176</f>
        <v>63.04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524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B32" s="12"/>
      <c r="C32" s="6"/>
      <c r="D32" s="6"/>
      <c r="E32" s="6"/>
      <c r="F32" s="6"/>
      <c r="G32" s="6"/>
      <c r="H32" s="13"/>
      <c r="J32" s="112"/>
      <c r="K32" s="466"/>
      <c r="L32" s="151"/>
      <c r="M32" s="151"/>
      <c r="N32" s="151"/>
      <c r="O32" s="138"/>
      <c r="R32" s="288">
        <f>SUM(R23:R31)</f>
        <v>3557.4599999999996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2:77" ht="25.05" customHeight="1" thickBot="1" x14ac:dyDescent="0.4">
      <c r="B33" s="86"/>
      <c r="C33" s="87"/>
      <c r="D33" s="329"/>
      <c r="E33" s="329"/>
      <c r="F33" s="329"/>
      <c r="G33" s="325" t="s">
        <v>268</v>
      </c>
      <c r="H33" s="148">
        <f>ROUNDUP((AY18+AY42)*1.1,0)</f>
        <v>27</v>
      </c>
      <c r="J33" s="5"/>
      <c r="K33" s="100"/>
      <c r="L33" s="5"/>
      <c r="M33" s="5"/>
      <c r="N33" s="5"/>
      <c r="O33" s="5"/>
      <c r="Q33" s="577" t="s">
        <v>432</v>
      </c>
      <c r="R33" s="89"/>
      <c r="V33" s="322"/>
      <c r="W33" s="322"/>
      <c r="X33" s="322"/>
      <c r="Y33" s="322"/>
      <c r="Z33" s="322"/>
      <c r="AA33" s="322"/>
      <c r="AB33" s="322"/>
      <c r="AI33" s="443"/>
      <c r="AJ33" s="443"/>
      <c r="AK33" s="443"/>
      <c r="AL33" s="443"/>
      <c r="AM33" s="443"/>
      <c r="AN33" s="443"/>
      <c r="AO33" s="443"/>
      <c r="AP33" s="443"/>
      <c r="AQ33" s="443"/>
      <c r="AR33" s="443"/>
      <c r="AS33" s="443"/>
      <c r="AT33" s="443"/>
      <c r="AU33" s="443"/>
      <c r="AV33" s="443"/>
      <c r="AW33" s="443"/>
      <c r="AX33" s="5"/>
      <c r="AY33" s="5"/>
      <c r="AZ33" s="141" t="s">
        <v>263</v>
      </c>
      <c r="BA33" s="141"/>
      <c r="BB33" s="141"/>
      <c r="BC33" s="185">
        <v>5000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2:77" ht="25.05" customHeight="1" thickBot="1" x14ac:dyDescent="0.4">
      <c r="B34" s="91"/>
      <c r="C34" s="92"/>
      <c r="D34" s="93"/>
      <c r="E34" s="93"/>
      <c r="F34" s="93"/>
      <c r="G34" s="93"/>
      <c r="H34" s="94"/>
      <c r="J34" s="5"/>
      <c r="K34" s="5"/>
      <c r="L34" s="545" t="s">
        <v>528</v>
      </c>
      <c r="M34" s="545"/>
      <c r="N34" s="545"/>
      <c r="O34" s="545"/>
      <c r="Q34" s="577"/>
      <c r="R34" s="282">
        <f>R16+R32+H23</f>
        <v>19648.77</v>
      </c>
      <c r="S34" s="272"/>
      <c r="T34" s="272"/>
      <c r="AX34" s="5"/>
      <c r="AY34" s="5"/>
      <c r="AZ34" s="141" t="s">
        <v>264</v>
      </c>
      <c r="BA34" s="141"/>
      <c r="BB34" s="141"/>
      <c r="BC34" s="141">
        <v>5075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2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265</v>
      </c>
      <c r="BA35" s="185"/>
      <c r="BB35" s="185"/>
      <c r="BC35" s="141">
        <v>5400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2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271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2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20.056476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180</v>
      </c>
      <c r="BW37" s="5"/>
      <c r="BX37" s="5"/>
      <c r="BY37" s="5"/>
    </row>
    <row r="38" spans="2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1</v>
      </c>
      <c r="BE38" s="197"/>
      <c r="BF38" s="197"/>
      <c r="BG38" s="197"/>
      <c r="BH38" s="197"/>
      <c r="BI38" s="197"/>
      <c r="BJ38" s="198">
        <f>IF(AND(BL38&gt;2500,BL38&lt;=4950),BM38+1,BM38)</f>
        <v>0</v>
      </c>
      <c r="BK38" s="197"/>
      <c r="BL38" s="199">
        <f>BL23</f>
        <v>670</v>
      </c>
      <c r="BM38" s="199">
        <f t="shared" ref="BM38:BP38" si="27">BM23</f>
        <v>0</v>
      </c>
      <c r="BN38" s="199">
        <f t="shared" si="27"/>
        <v>0</v>
      </c>
      <c r="BO38" s="199">
        <f t="shared" si="27"/>
        <v>0</v>
      </c>
      <c r="BP38" s="199">
        <f t="shared" si="27"/>
        <v>0</v>
      </c>
      <c r="BQ38" s="199"/>
      <c r="BR38" s="199"/>
      <c r="BV38" s="54" t="s">
        <v>175</v>
      </c>
      <c r="BW38" s="5"/>
      <c r="BX38" s="5"/>
      <c r="BY38" s="5"/>
    </row>
    <row r="39" spans="2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8">BL24</f>
        <v>0</v>
      </c>
      <c r="BM39" s="199">
        <f t="shared" si="28"/>
        <v>0</v>
      </c>
      <c r="BN39" s="199">
        <f t="shared" si="28"/>
        <v>0</v>
      </c>
      <c r="BO39" s="199">
        <f t="shared" si="28"/>
        <v>0</v>
      </c>
      <c r="BP39" s="199">
        <f t="shared" si="28"/>
        <v>0</v>
      </c>
      <c r="BQ39" s="199"/>
      <c r="BR39" s="199"/>
      <c r="BW39" s="5"/>
      <c r="BX39" s="5"/>
      <c r="BY39" s="5"/>
    </row>
    <row r="40" spans="2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1</v>
      </c>
      <c r="BE40" s="200"/>
      <c r="BF40" s="200"/>
      <c r="BG40" s="200"/>
      <c r="BH40" s="200"/>
      <c r="BI40" s="200"/>
      <c r="BJ40" s="201">
        <f>IF(AND(BL40&gt;2500,BL40&lt;=5025),BM40+1,BM40)</f>
        <v>0</v>
      </c>
      <c r="BK40" s="200"/>
      <c r="BL40" s="199">
        <f t="shared" ref="BL40:BP40" si="29">BL25</f>
        <v>1600</v>
      </c>
      <c r="BM40" s="199">
        <f t="shared" si="29"/>
        <v>0</v>
      </c>
      <c r="BN40" s="199">
        <f t="shared" si="29"/>
        <v>0</v>
      </c>
      <c r="BO40" s="199">
        <f t="shared" si="29"/>
        <v>0</v>
      </c>
      <c r="BP40" s="199">
        <f t="shared" si="29"/>
        <v>0</v>
      </c>
      <c r="BQ40" s="199"/>
      <c r="BR40" s="199"/>
      <c r="BW40" s="5"/>
      <c r="BX40" s="5"/>
      <c r="BY40" s="5"/>
    </row>
    <row r="41" spans="2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1</v>
      </c>
      <c r="BE41" s="143"/>
      <c r="BF41" s="143"/>
      <c r="BG41" s="143"/>
      <c r="BH41" s="143"/>
      <c r="BI41" s="143"/>
      <c r="BJ41" s="141">
        <f>IF(AND(BL41&gt;2500,BL41&lt;=4950),BM41+1,BM41)</f>
        <v>0</v>
      </c>
      <c r="BK41" s="143"/>
      <c r="BL41" s="199">
        <f t="shared" ref="BL41:BP41" si="30">BL26</f>
        <v>1424</v>
      </c>
      <c r="BM41" s="199">
        <f t="shared" si="30"/>
        <v>0</v>
      </c>
      <c r="BN41" s="199">
        <f t="shared" si="30"/>
        <v>0</v>
      </c>
      <c r="BO41" s="199">
        <f t="shared" si="30"/>
        <v>0</v>
      </c>
      <c r="BP41" s="199">
        <f t="shared" si="30"/>
        <v>0</v>
      </c>
      <c r="BQ41" s="199"/>
      <c r="BR41" s="199"/>
      <c r="BV41" s="1" t="s">
        <v>178</v>
      </c>
      <c r="BW41" s="5"/>
      <c r="BX41" s="5"/>
      <c r="BY41" s="5"/>
    </row>
    <row r="42" spans="2:77" ht="25.05" customHeight="1" thickBot="1" x14ac:dyDescent="0.35">
      <c r="AY42" s="195">
        <f>SUM(AY37:AY41)</f>
        <v>20.056476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1">BL27</f>
        <v>0</v>
      </c>
      <c r="BM42" s="199">
        <f t="shared" si="31"/>
        <v>0</v>
      </c>
      <c r="BN42" s="199">
        <f t="shared" si="31"/>
        <v>0</v>
      </c>
      <c r="BO42" s="199">
        <f t="shared" si="31"/>
        <v>0</v>
      </c>
      <c r="BP42" s="199">
        <f t="shared" si="31"/>
        <v>0</v>
      </c>
      <c r="BQ42" s="199"/>
      <c r="BR42" s="199"/>
      <c r="BV42" s="54" t="s">
        <v>175</v>
      </c>
      <c r="BW42" s="5"/>
      <c r="BX42" s="5"/>
      <c r="BY42" s="5"/>
    </row>
    <row r="43" spans="2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1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2">BL28</f>
        <v>0</v>
      </c>
      <c r="BM43" s="199">
        <f t="shared" si="32"/>
        <v>0</v>
      </c>
      <c r="BN43" s="199">
        <f t="shared" si="32"/>
        <v>0</v>
      </c>
      <c r="BO43" s="199">
        <f t="shared" si="32"/>
        <v>662</v>
      </c>
      <c r="BP43" s="199">
        <f t="shared" si="32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2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2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2:77" ht="25.05" customHeight="1" x14ac:dyDescent="0.3">
      <c r="AY46" s="38"/>
      <c r="AZ46" s="5"/>
      <c r="BA46" s="5"/>
      <c r="BB46" s="5"/>
      <c r="BC46" s="5"/>
      <c r="BD46" s="5"/>
      <c r="BE46" s="241" t="s">
        <v>525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2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2:77" ht="25.05" customHeight="1" x14ac:dyDescent="0.3">
      <c r="AY48" s="38"/>
      <c r="AZ48" s="141" t="s">
        <v>263</v>
      </c>
      <c r="BA48" s="141"/>
      <c r="BB48" s="141"/>
      <c r="BC48" s="185">
        <v>5000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264</v>
      </c>
      <c r="BA49" s="141"/>
      <c r="BB49" s="141"/>
      <c r="BC49" s="141">
        <v>5075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265</v>
      </c>
      <c r="BA50" s="185"/>
      <c r="BB50" s="185"/>
      <c r="BC50" s="141">
        <v>5400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Подвесная!BV50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Подвесная!BV51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1</v>
      </c>
      <c r="BE53" s="197"/>
      <c r="BF53" s="197"/>
      <c r="BG53" s="197"/>
      <c r="BH53" s="197"/>
      <c r="BI53" s="197"/>
      <c r="BJ53" s="198">
        <f>IF(AND(BL53&gt;2500,BL53&lt;=4950),BM53+1,BM53)</f>
        <v>0</v>
      </c>
      <c r="BK53" s="197"/>
      <c r="BL53" s="199">
        <f>BL38</f>
        <v>670</v>
      </c>
      <c r="BM53" s="199">
        <f t="shared" ref="BM53:BP53" si="33">BM38</f>
        <v>0</v>
      </c>
      <c r="BN53" s="199">
        <f t="shared" si="33"/>
        <v>0</v>
      </c>
      <c r="BO53" s="199">
        <f t="shared" si="33"/>
        <v>0</v>
      </c>
      <c r="BP53" s="199">
        <f t="shared" si="33"/>
        <v>0</v>
      </c>
      <c r="BQ53" s="199"/>
      <c r="BR53" s="199"/>
      <c r="BV53" s="38" t="str">
        <f>Подвесная!BV52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4">BL39</f>
        <v>0</v>
      </c>
      <c r="BM54" s="199">
        <f t="shared" si="34"/>
        <v>0</v>
      </c>
      <c r="BN54" s="199">
        <f t="shared" si="34"/>
        <v>0</v>
      </c>
      <c r="BO54" s="199">
        <f t="shared" si="34"/>
        <v>0</v>
      </c>
      <c r="BP54" s="199">
        <f t="shared" si="34"/>
        <v>0</v>
      </c>
      <c r="BQ54" s="199"/>
      <c r="BR54" s="199"/>
      <c r="BV54" s="38" t="str">
        <f>Подвесная!BV53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1</v>
      </c>
      <c r="BE55" s="200"/>
      <c r="BF55" s="200"/>
      <c r="BG55" s="200"/>
      <c r="BH55" s="200"/>
      <c r="BI55" s="200"/>
      <c r="BJ55" s="201">
        <f>IF(AND(BL55&gt;2500,BL55&lt;=5025),BM55+1,BM55)</f>
        <v>0</v>
      </c>
      <c r="BK55" s="200"/>
      <c r="BL55" s="199">
        <f t="shared" ref="BL55:BP55" si="35">BL40</f>
        <v>1600</v>
      </c>
      <c r="BM55" s="199">
        <f t="shared" si="35"/>
        <v>0</v>
      </c>
      <c r="BN55" s="199">
        <f t="shared" si="35"/>
        <v>0</v>
      </c>
      <c r="BO55" s="199">
        <f t="shared" si="35"/>
        <v>0</v>
      </c>
      <c r="BP55" s="199">
        <f t="shared" si="35"/>
        <v>0</v>
      </c>
      <c r="BQ55" s="199"/>
      <c r="BR55" s="199"/>
      <c r="BV55" s="38" t="str">
        <f>Подвесная!BV54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1</v>
      </c>
      <c r="BE56" s="143"/>
      <c r="BF56" s="143"/>
      <c r="BG56" s="143"/>
      <c r="BH56" s="143"/>
      <c r="BI56" s="143"/>
      <c r="BJ56" s="141">
        <f>IF(AND(BL56&gt;2500,BL56&lt;=4950),BM56+1,BM56)</f>
        <v>0</v>
      </c>
      <c r="BK56" s="143"/>
      <c r="BL56" s="199">
        <f t="shared" ref="BL56:BP56" si="36">BL41</f>
        <v>1424</v>
      </c>
      <c r="BM56" s="199">
        <f t="shared" si="36"/>
        <v>0</v>
      </c>
      <c r="BN56" s="199">
        <f t="shared" si="36"/>
        <v>0</v>
      </c>
      <c r="BO56" s="199">
        <f t="shared" si="36"/>
        <v>0</v>
      </c>
      <c r="BP56" s="199">
        <f t="shared" si="36"/>
        <v>0</v>
      </c>
      <c r="BQ56" s="199"/>
      <c r="BR56" s="199"/>
      <c r="BV56" s="38" t="str">
        <f>Подвесная!BV55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7">BL42</f>
        <v>0</v>
      </c>
      <c r="BM57" s="199">
        <f t="shared" si="37"/>
        <v>0</v>
      </c>
      <c r="BN57" s="199">
        <f t="shared" si="37"/>
        <v>0</v>
      </c>
      <c r="BO57" s="199">
        <f t="shared" si="37"/>
        <v>0</v>
      </c>
      <c r="BP57" s="199">
        <f t="shared" si="37"/>
        <v>0</v>
      </c>
      <c r="BQ57" s="199"/>
      <c r="BR57" s="199"/>
      <c r="BV57" s="38" t="str">
        <f>Подвесная!BV56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1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8">BL43</f>
        <v>0</v>
      </c>
      <c r="BM58" s="199">
        <f t="shared" si="38"/>
        <v>0</v>
      </c>
      <c r="BN58" s="199">
        <f t="shared" si="38"/>
        <v>0</v>
      </c>
      <c r="BO58" s="199">
        <f t="shared" si="38"/>
        <v>662</v>
      </c>
      <c r="BP58" s="199">
        <f t="shared" si="38"/>
        <v>0</v>
      </c>
      <c r="BQ58" s="199"/>
      <c r="BR58" s="199"/>
      <c r="BV58" s="38" t="str">
        <f>Подвесная!BV57</f>
        <v>сталь воронёная</v>
      </c>
    </row>
    <row r="59" spans="51:77" x14ac:dyDescent="0.3">
      <c r="BV59" s="38" t="str">
        <f>Подвесная!BV58</f>
        <v>золото матовое</v>
      </c>
    </row>
    <row r="60" spans="51:77" x14ac:dyDescent="0.3">
      <c r="BV60" s="38" t="str">
        <f>Подвесная!BV59</f>
        <v>антрацит</v>
      </c>
    </row>
    <row r="61" spans="51:77" x14ac:dyDescent="0.3">
      <c r="BV61" s="38" t="str">
        <f>Подвесная!BV60</f>
        <v>кварц бронзовый*</v>
      </c>
    </row>
    <row r="62" spans="51:77" x14ac:dyDescent="0.3">
      <c r="BV62" s="38" t="str">
        <f>Подвесная!BV61</f>
        <v>жемчуг серый*</v>
      </c>
    </row>
    <row r="63" spans="51:77" x14ac:dyDescent="0.3">
      <c r="BV63" s="38" t="str">
        <f>Подвесная!BV62</f>
        <v>жемчуг розовый*</v>
      </c>
    </row>
  </sheetData>
  <sheetProtection algorithmName="SHA-512" hashValue="ayLERrvF/zFDO0HAIXZchS2JYHpNLJyacE0x9kRPb/LXelfEGIo6TGxb5N8MNiUdsEhzna6FjJam1wILaiCFXQ==" saltValue="kR0ujBawyUfG9Ct4vT4uRw==" spinCount="100000" sheet="1" selectLockedCells="1"/>
  <mergeCells count="60">
    <mergeCell ref="Z3:AA3"/>
    <mergeCell ref="V10:V11"/>
    <mergeCell ref="AC10:AC11"/>
    <mergeCell ref="J28:M28"/>
    <mergeCell ref="J25:M25"/>
    <mergeCell ref="J26:M26"/>
    <mergeCell ref="J27:M27"/>
    <mergeCell ref="U7:AH7"/>
    <mergeCell ref="J7:M7"/>
    <mergeCell ref="J3:K3"/>
    <mergeCell ref="AH10:AH11"/>
    <mergeCell ref="AG10:AG11"/>
    <mergeCell ref="R4:R5"/>
    <mergeCell ref="J30:M30"/>
    <mergeCell ref="J31:M31"/>
    <mergeCell ref="Q33:Q34"/>
    <mergeCell ref="B1:H1"/>
    <mergeCell ref="J1:O1"/>
    <mergeCell ref="J22:M22"/>
    <mergeCell ref="J23:M23"/>
    <mergeCell ref="J24:M24"/>
    <mergeCell ref="E8:H8"/>
    <mergeCell ref="E9:H9"/>
    <mergeCell ref="E10:H10"/>
    <mergeCell ref="B3:D3"/>
    <mergeCell ref="B4:D4"/>
    <mergeCell ref="B5:D5"/>
    <mergeCell ref="B6:D6"/>
    <mergeCell ref="B7:D7"/>
    <mergeCell ref="B8:D8"/>
    <mergeCell ref="B9:D9"/>
    <mergeCell ref="E3:H3"/>
    <mergeCell ref="E4:H4"/>
    <mergeCell ref="E5:H5"/>
    <mergeCell ref="E6:H6"/>
    <mergeCell ref="E7:H7"/>
    <mergeCell ref="T10:T11"/>
    <mergeCell ref="AA10:AA11"/>
    <mergeCell ref="AD10:AD11"/>
    <mergeCell ref="Y10:Y11"/>
    <mergeCell ref="Z10:Z11"/>
    <mergeCell ref="X10:X11"/>
    <mergeCell ref="W10:W11"/>
    <mergeCell ref="AB10:AB11"/>
    <mergeCell ref="L34:O34"/>
    <mergeCell ref="W3:Y3"/>
    <mergeCell ref="AC18:AG18"/>
    <mergeCell ref="C28:D28"/>
    <mergeCell ref="E23:G23"/>
    <mergeCell ref="J21:L21"/>
    <mergeCell ref="R10:R11"/>
    <mergeCell ref="U10:U11"/>
    <mergeCell ref="C24:D24"/>
    <mergeCell ref="B10:D10"/>
    <mergeCell ref="AE10:AE11"/>
    <mergeCell ref="U16:AG16"/>
    <mergeCell ref="O10:O11"/>
    <mergeCell ref="N10:N11"/>
    <mergeCell ref="AF10:AF11"/>
    <mergeCell ref="J29:M29"/>
  </mergeCells>
  <conditionalFormatting sqref="U10:AF15">
    <cfRule type="cellIs" dxfId="25" priority="57" operator="equal">
      <formula>0</formula>
    </cfRule>
  </conditionalFormatting>
  <conditionalFormatting sqref="E10">
    <cfRule type="cellIs" dxfId="24" priority="50" operator="greaterThan">
      <formula>0</formula>
    </cfRule>
  </conditionalFormatting>
  <conditionalFormatting sqref="K4">
    <cfRule type="expression" dxfId="23" priority="79">
      <formula>$K$4&gt;3200</formula>
    </cfRule>
  </conditionalFormatting>
  <conditionalFormatting sqref="K5">
    <cfRule type="expression" dxfId="22" priority="43">
      <formula>OR($K$5&lt;200,$K$5&gt;1200)</formula>
    </cfRule>
  </conditionalFormatting>
  <conditionalFormatting sqref="E6">
    <cfRule type="cellIs" dxfId="21" priority="33" operator="greaterThan">
      <formula>0</formula>
    </cfRule>
  </conditionalFormatting>
  <conditionalFormatting sqref="S34:T34">
    <cfRule type="expression" dxfId="20" priority="904">
      <formula>$E$4=0</formula>
    </cfRule>
  </conditionalFormatting>
  <conditionalFormatting sqref="K20:L20 L11:M11 AH16 O12:Q12 S32 L9:Q10 O23:Q27 K4:K5 U15:AH15 T14:AF15 L12:N15 O15:Q15 P13:Q14 S14:S16 S23:S27 AT12:AW13 AT9:AW10 S9:AH10 S12:AH13 AU11:AU15 U13:AG15 AT16:AW16 AV17 AT15:AU15">
    <cfRule type="expression" dxfId="19" priority="906">
      <formula>$E$4=0</formula>
    </cfRule>
  </conditionalFormatting>
  <conditionalFormatting sqref="E18 F18:H22 H23 K4:K5 O28:Q31 T16 S17 S28:S31">
    <cfRule type="expression" dxfId="18" priority="920">
      <formula>$E$4=0</formula>
    </cfRule>
  </conditionalFormatting>
  <conditionalFormatting sqref="AB3:AC3">
    <cfRule type="expression" dxfId="17" priority="28">
      <formula>$CF$19=FALSE</formula>
    </cfRule>
  </conditionalFormatting>
  <conditionalFormatting sqref="O14">
    <cfRule type="expression" dxfId="16" priority="26">
      <formula>$E$4=0</formula>
    </cfRule>
  </conditionalFormatting>
  <conditionalFormatting sqref="O13">
    <cfRule type="expression" dxfId="15" priority="25">
      <formula>$E$4=0</formula>
    </cfRule>
  </conditionalFormatting>
  <conditionalFormatting sqref="AQ15:AS16 AQ9:AS10 AJ10:AT10 AI9:AI16 AJ12:AT15">
    <cfRule type="expression" dxfId="14" priority="13">
      <formula>$E$4=0</formula>
    </cfRule>
  </conditionalFormatting>
  <conditionalFormatting sqref="AL12:AP13 AL9:AP10 AL15:AP16">
    <cfRule type="expression" dxfId="13" priority="10">
      <formula>$E$4=0</formula>
    </cfRule>
  </conditionalFormatting>
  <conditionalFormatting sqref="AJ15:AK16 AJ9:AK10 AJ12:AK13">
    <cfRule type="expression" dxfId="12" priority="7">
      <formula>$E$4=0</formula>
    </cfRule>
  </conditionalFormatting>
  <conditionalFormatting sqref="E9">
    <cfRule type="expression" dxfId="11" priority="1125">
      <formula>$E$8=$BV$17</formula>
    </cfRule>
  </conditionalFormatting>
  <conditionalFormatting sqref="H33">
    <cfRule type="expression" dxfId="10" priority="1126">
      <formula>AND($E$8=$BV$18,$H$33&gt;30)</formula>
    </cfRule>
    <cfRule type="expression" dxfId="9" priority="1127">
      <formula>$H$33&gt;50</formula>
    </cfRule>
  </conditionalFormatting>
  <conditionalFormatting sqref="C24:D24">
    <cfRule type="expression" dxfId="8" priority="1128">
      <formula>$C$24=$BV$45</formula>
    </cfRule>
  </conditionalFormatting>
  <conditionalFormatting sqref="C28">
    <cfRule type="expression" dxfId="7" priority="1129">
      <formula>$C$28=$BV$49</formula>
    </cfRule>
  </conditionalFormatting>
  <conditionalFormatting sqref="C24">
    <cfRule type="expression" dxfId="6" priority="113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5" priority="1131">
      <formula>$N$3=$CE$9</formula>
    </cfRule>
  </conditionalFormatting>
  <conditionalFormatting sqref="T1:AW2 T34:AW34 T19:AW19 T3 V3:W3 Z3:AW3 T4:AW13 AV17 T16:AW16 T14:AU15 T18:AB18 AI18:AW18">
    <cfRule type="expression" dxfId="4" priority="1144">
      <formula>$N$3=$CE$10</formula>
    </cfRule>
  </conditionalFormatting>
  <conditionalFormatting sqref="U9:AF9">
    <cfRule type="cellIs" dxfId="3" priority="4" operator="equal">
      <formula>0</formula>
    </cfRule>
  </conditionalFormatting>
  <conditionalFormatting sqref="U22:AF28">
    <cfRule type="cellIs" dxfId="2" priority="3" operator="equal">
      <formula>0</formula>
    </cfRule>
  </conditionalFormatting>
  <conditionalFormatting sqref="AW15">
    <cfRule type="expression" dxfId="1" priority="2">
      <formula>$E$4=0</formula>
    </cfRule>
  </conditionalFormatting>
  <conditionalFormatting sqref="AV15">
    <cfRule type="expression" dxfId="0" priority="1">
      <formula>$E$4=0</formula>
    </cfRule>
  </conditionalFormatting>
  <dataValidations count="8">
    <dataValidation type="list" allowBlank="1" showInputMessage="1" showErrorMessage="1" sqref="E8">
      <formula1>$BV$15:$BV$18</formula1>
    </dataValidation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6">
      <formula1>$BY$6:$BY$7</formula1>
    </dataValidation>
    <dataValidation type="list" allowBlank="1" showInputMessage="1" showErrorMessage="1" sqref="E10">
      <formula1>$BV$24:$BV$27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0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184</v>
      </c>
      <c r="K2" s="124" t="s">
        <v>186</v>
      </c>
      <c r="N2" s="28" t="s">
        <v>186</v>
      </c>
    </row>
    <row r="3" spans="1:15" x14ac:dyDescent="0.3">
      <c r="A3" s="24"/>
      <c r="B3" s="7"/>
      <c r="C3" s="7"/>
      <c r="D3" s="220"/>
      <c r="E3" s="32"/>
      <c r="F3" s="221"/>
      <c r="G3" s="30"/>
      <c r="H3" s="393" t="s">
        <v>25</v>
      </c>
      <c r="I3" s="392"/>
      <c r="J3" s="392"/>
      <c r="K3" s="122">
        <v>0</v>
      </c>
      <c r="N3" s="28" t="s">
        <v>185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7" t="s">
        <v>521</v>
      </c>
      <c r="C5" s="387"/>
      <c r="D5" s="387" t="s">
        <v>26</v>
      </c>
      <c r="E5" s="391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188</v>
      </c>
      <c r="K5" s="182" t="s">
        <v>187</v>
      </c>
    </row>
    <row r="6" spans="1:15" s="35" customFormat="1" ht="20.100000000000001" customHeight="1" x14ac:dyDescent="0.25">
      <c r="A6" s="24"/>
      <c r="B6" s="637"/>
      <c r="C6" s="390" t="s">
        <v>2</v>
      </c>
      <c r="D6" s="640" t="s">
        <v>520</v>
      </c>
      <c r="E6" s="635" t="s">
        <v>30</v>
      </c>
      <c r="F6" s="219" t="s">
        <v>277</v>
      </c>
      <c r="G6" s="173" t="s">
        <v>234</v>
      </c>
      <c r="H6" s="679">
        <v>5.4</v>
      </c>
      <c r="I6" s="637" t="s">
        <v>31</v>
      </c>
      <c r="J6" s="162">
        <f>K6-K6*$K$3</f>
        <v>5003.21</v>
      </c>
      <c r="K6" s="161">
        <f t="shared" ref="K6:K37" si="0">IF($K$2=$N$2,N6,O6)</f>
        <v>5003.21</v>
      </c>
      <c r="L6" s="36"/>
      <c r="M6" s="36"/>
      <c r="N6" s="212">
        <v>5003.21</v>
      </c>
      <c r="O6" s="153">
        <f>N6*1.05</f>
        <v>5253.3705</v>
      </c>
    </row>
    <row r="7" spans="1:15" s="35" customFormat="1" ht="20.100000000000001" customHeight="1" x14ac:dyDescent="0.25">
      <c r="A7" s="24"/>
      <c r="B7" s="638"/>
      <c r="C7" s="390" t="s">
        <v>2</v>
      </c>
      <c r="D7" s="641"/>
      <c r="E7" s="635"/>
      <c r="F7" s="219" t="s">
        <v>310</v>
      </c>
      <c r="G7" s="173" t="s">
        <v>132</v>
      </c>
      <c r="H7" s="680"/>
      <c r="I7" s="638"/>
      <c r="J7" s="162">
        <f t="shared" ref="J7:J87" si="1">K7-K7*$K$3</f>
        <v>5400.26</v>
      </c>
      <c r="K7" s="161">
        <f t="shared" si="0"/>
        <v>5400.26</v>
      </c>
      <c r="L7" s="36"/>
      <c r="M7" s="36"/>
      <c r="N7" s="212">
        <v>5400.26</v>
      </c>
      <c r="O7" s="153">
        <f>N7*1.05</f>
        <v>5670.2730000000001</v>
      </c>
    </row>
    <row r="8" spans="1:15" s="35" customFormat="1" ht="20.100000000000001" customHeight="1" x14ac:dyDescent="0.25">
      <c r="A8" s="24"/>
      <c r="B8" s="638"/>
      <c r="C8" s="390" t="s">
        <v>2</v>
      </c>
      <c r="D8" s="641"/>
      <c r="E8" s="635" t="s">
        <v>32</v>
      </c>
      <c r="F8" s="219" t="s">
        <v>298</v>
      </c>
      <c r="G8" s="173" t="s">
        <v>235</v>
      </c>
      <c r="H8" s="680"/>
      <c r="I8" s="638"/>
      <c r="J8" s="162">
        <f t="shared" ref="J8" si="2">K8-K8*$K$3</f>
        <v>6661.38</v>
      </c>
      <c r="K8" s="161">
        <f t="shared" si="0"/>
        <v>6661.38</v>
      </c>
      <c r="L8" s="36"/>
      <c r="M8" s="36"/>
      <c r="N8" s="213">
        <v>6661.38</v>
      </c>
      <c r="O8" s="153">
        <f>N8*1.05</f>
        <v>6994.4490000000005</v>
      </c>
    </row>
    <row r="9" spans="1:15" s="35" customFormat="1" ht="20.100000000000001" customHeight="1" x14ac:dyDescent="0.25">
      <c r="A9" s="24"/>
      <c r="B9" s="638"/>
      <c r="C9" s="390" t="s">
        <v>2</v>
      </c>
      <c r="D9" s="641"/>
      <c r="E9" s="635"/>
      <c r="F9" s="219" t="s">
        <v>283</v>
      </c>
      <c r="G9" s="173" t="s">
        <v>133</v>
      </c>
      <c r="H9" s="680"/>
      <c r="I9" s="638"/>
      <c r="J9" s="162">
        <f t="shared" si="1"/>
        <v>6661.38</v>
      </c>
      <c r="K9" s="161">
        <f t="shared" si="0"/>
        <v>6661.38</v>
      </c>
      <c r="L9" s="36"/>
      <c r="M9" s="36"/>
      <c r="N9" s="154">
        <v>6661.38</v>
      </c>
      <c r="O9" s="165">
        <f t="shared" ref="O9:O18" si="3">N9*1.05</f>
        <v>6994.4490000000005</v>
      </c>
    </row>
    <row r="10" spans="1:15" s="35" customFormat="1" ht="20.100000000000001" customHeight="1" x14ac:dyDescent="0.25">
      <c r="A10" s="24"/>
      <c r="B10" s="638"/>
      <c r="C10" s="390" t="s">
        <v>2</v>
      </c>
      <c r="D10" s="641"/>
      <c r="E10" s="635"/>
      <c r="F10" s="219" t="s">
        <v>288</v>
      </c>
      <c r="G10" s="173" t="s">
        <v>33</v>
      </c>
      <c r="H10" s="680"/>
      <c r="I10" s="638"/>
      <c r="J10" s="162">
        <f t="shared" ref="J10:J11" si="4">K10-K10*$K$3</f>
        <v>6661.38</v>
      </c>
      <c r="K10" s="161">
        <f t="shared" si="0"/>
        <v>6661.38</v>
      </c>
      <c r="L10" s="36"/>
      <c r="M10" s="36"/>
      <c r="N10" s="154">
        <v>6661.38</v>
      </c>
      <c r="O10" s="165">
        <f t="shared" si="3"/>
        <v>6994.4490000000005</v>
      </c>
    </row>
    <row r="11" spans="1:15" s="35" customFormat="1" ht="20.100000000000001" customHeight="1" x14ac:dyDescent="0.25">
      <c r="A11" s="24"/>
      <c r="B11" s="638"/>
      <c r="C11" s="390" t="s">
        <v>2</v>
      </c>
      <c r="D11" s="641"/>
      <c r="E11" s="635"/>
      <c r="F11" s="219" t="s">
        <v>293</v>
      </c>
      <c r="G11" s="173" t="s">
        <v>34</v>
      </c>
      <c r="H11" s="680"/>
      <c r="I11" s="638"/>
      <c r="J11" s="162">
        <f t="shared" si="4"/>
        <v>6661.38</v>
      </c>
      <c r="K11" s="161">
        <f t="shared" si="0"/>
        <v>6661.38</v>
      </c>
      <c r="L11" s="36"/>
      <c r="M11" s="36"/>
      <c r="N11" s="154">
        <v>6661.38</v>
      </c>
      <c r="O11" s="165">
        <f t="shared" si="3"/>
        <v>6994.4490000000005</v>
      </c>
    </row>
    <row r="12" spans="1:15" s="35" customFormat="1" ht="20.100000000000001" customHeight="1" x14ac:dyDescent="0.25">
      <c r="A12" s="24"/>
      <c r="B12" s="638"/>
      <c r="C12" s="390" t="s">
        <v>2</v>
      </c>
      <c r="D12" s="641"/>
      <c r="E12" s="635"/>
      <c r="F12" s="219" t="s">
        <v>302</v>
      </c>
      <c r="G12" s="173" t="s">
        <v>236</v>
      </c>
      <c r="H12" s="680"/>
      <c r="I12" s="638"/>
      <c r="J12" s="162">
        <f t="shared" ref="J12" si="5">K12-K12*$K$3</f>
        <v>6661.38</v>
      </c>
      <c r="K12" s="161">
        <f t="shared" si="0"/>
        <v>6661.38</v>
      </c>
      <c r="L12" s="36"/>
      <c r="M12" s="36"/>
      <c r="N12" s="154">
        <v>6661.38</v>
      </c>
      <c r="O12" s="165">
        <f t="shared" si="3"/>
        <v>6994.4490000000005</v>
      </c>
    </row>
    <row r="13" spans="1:15" s="35" customFormat="1" ht="20.100000000000001" customHeight="1" x14ac:dyDescent="0.25">
      <c r="A13" s="24"/>
      <c r="B13" s="638"/>
      <c r="C13" s="390" t="s">
        <v>2</v>
      </c>
      <c r="D13" s="641"/>
      <c r="E13" s="635"/>
      <c r="F13" s="219" t="s">
        <v>305</v>
      </c>
      <c r="G13" s="173" t="s">
        <v>483</v>
      </c>
      <c r="H13" s="680"/>
      <c r="I13" s="638"/>
      <c r="J13" s="162">
        <f t="shared" ref="J13" si="6">K13-K13*$K$3</f>
        <v>6661.38</v>
      </c>
      <c r="K13" s="161">
        <f t="shared" si="0"/>
        <v>6661.38</v>
      </c>
      <c r="L13" s="36"/>
      <c r="M13" s="36"/>
      <c r="N13" s="154">
        <v>6661.38</v>
      </c>
      <c r="O13" s="165">
        <f t="shared" si="3"/>
        <v>6994.4490000000005</v>
      </c>
    </row>
    <row r="14" spans="1:15" s="35" customFormat="1" ht="20.100000000000001" customHeight="1" x14ac:dyDescent="0.25">
      <c r="A14" s="24"/>
      <c r="B14" s="638"/>
      <c r="C14" s="390" t="s">
        <v>2</v>
      </c>
      <c r="D14" s="641"/>
      <c r="E14" s="385"/>
      <c r="F14" s="219" t="s">
        <v>506</v>
      </c>
      <c r="G14" s="173" t="s">
        <v>481</v>
      </c>
      <c r="H14" s="680"/>
      <c r="I14" s="638"/>
      <c r="J14" s="162">
        <f t="shared" ref="J14:J18" si="7">K14-K14*$K$3</f>
        <v>6661.38</v>
      </c>
      <c r="K14" s="161">
        <f t="shared" si="0"/>
        <v>6661.38</v>
      </c>
      <c r="L14" s="36"/>
      <c r="M14" s="36"/>
      <c r="N14" s="163">
        <v>6661.38</v>
      </c>
      <c r="O14" s="166">
        <f t="shared" si="3"/>
        <v>6994.4490000000005</v>
      </c>
    </row>
    <row r="15" spans="1:15" s="35" customFormat="1" ht="20.100000000000001" customHeight="1" x14ac:dyDescent="0.25">
      <c r="A15" s="24"/>
      <c r="B15" s="638"/>
      <c r="C15" s="390" t="s">
        <v>2</v>
      </c>
      <c r="D15" s="641"/>
      <c r="E15" s="385"/>
      <c r="F15" s="219" t="s">
        <v>487</v>
      </c>
      <c r="G15" s="173" t="s">
        <v>478</v>
      </c>
      <c r="H15" s="680"/>
      <c r="I15" s="638"/>
      <c r="J15" s="162">
        <f t="shared" si="7"/>
        <v>6661.38</v>
      </c>
      <c r="K15" s="161">
        <f t="shared" si="0"/>
        <v>6661.38</v>
      </c>
      <c r="L15" s="36"/>
      <c r="M15" s="36"/>
      <c r="N15" s="163">
        <v>6661.38</v>
      </c>
      <c r="O15" s="166">
        <f t="shared" si="3"/>
        <v>6994.4490000000005</v>
      </c>
    </row>
    <row r="16" spans="1:15" s="35" customFormat="1" ht="20.100000000000001" customHeight="1" x14ac:dyDescent="0.25">
      <c r="A16" s="24"/>
      <c r="B16" s="638"/>
      <c r="C16" s="390" t="s">
        <v>2</v>
      </c>
      <c r="D16" s="641"/>
      <c r="E16" s="385"/>
      <c r="F16" s="219" t="s">
        <v>501</v>
      </c>
      <c r="G16" s="173" t="s">
        <v>482</v>
      </c>
      <c r="H16" s="680"/>
      <c r="I16" s="638"/>
      <c r="J16" s="162">
        <f t="shared" si="7"/>
        <v>6661.38</v>
      </c>
      <c r="K16" s="161">
        <f t="shared" si="0"/>
        <v>6661.38</v>
      </c>
      <c r="L16" s="36"/>
      <c r="M16" s="36"/>
      <c r="N16" s="163">
        <v>6661.38</v>
      </c>
      <c r="O16" s="166">
        <f t="shared" si="3"/>
        <v>6994.4490000000005</v>
      </c>
    </row>
    <row r="17" spans="1:15" s="35" customFormat="1" ht="20.100000000000001" customHeight="1" x14ac:dyDescent="0.25">
      <c r="A17" s="24"/>
      <c r="B17" s="638"/>
      <c r="C17" s="390" t="s">
        <v>2</v>
      </c>
      <c r="D17" s="641"/>
      <c r="E17" s="385"/>
      <c r="F17" s="219" t="s">
        <v>497</v>
      </c>
      <c r="G17" s="173" t="s">
        <v>480</v>
      </c>
      <c r="H17" s="680"/>
      <c r="I17" s="638"/>
      <c r="J17" s="162">
        <f t="shared" si="7"/>
        <v>6661.38</v>
      </c>
      <c r="K17" s="161">
        <f t="shared" si="0"/>
        <v>6661.38</v>
      </c>
      <c r="L17" s="36"/>
      <c r="M17" s="36"/>
      <c r="N17" s="163">
        <v>6661.38</v>
      </c>
      <c r="O17" s="166">
        <f t="shared" si="3"/>
        <v>6994.4490000000005</v>
      </c>
    </row>
    <row r="18" spans="1:15" s="35" customFormat="1" ht="20.100000000000001" customHeight="1" x14ac:dyDescent="0.25">
      <c r="A18" s="24"/>
      <c r="B18" s="639"/>
      <c r="C18" s="390" t="s">
        <v>2</v>
      </c>
      <c r="D18" s="642"/>
      <c r="E18" s="385"/>
      <c r="F18" s="219" t="s">
        <v>493</v>
      </c>
      <c r="G18" s="173" t="s">
        <v>479</v>
      </c>
      <c r="H18" s="681"/>
      <c r="I18" s="639"/>
      <c r="J18" s="162">
        <f t="shared" si="7"/>
        <v>6661.38</v>
      </c>
      <c r="K18" s="161">
        <f t="shared" si="0"/>
        <v>6661.38</v>
      </c>
      <c r="L18" s="36"/>
      <c r="M18" s="36"/>
      <c r="N18" s="163">
        <v>6661.38</v>
      </c>
      <c r="O18" s="166">
        <f t="shared" si="3"/>
        <v>6994.4490000000005</v>
      </c>
    </row>
    <row r="19" spans="1:15" s="35" customFormat="1" ht="20.100000000000001" customHeight="1" x14ac:dyDescent="0.25">
      <c r="A19" s="24"/>
      <c r="B19" s="637"/>
      <c r="C19" s="390" t="s">
        <v>5</v>
      </c>
      <c r="D19" s="640" t="s">
        <v>134</v>
      </c>
      <c r="E19" s="635" t="s">
        <v>35</v>
      </c>
      <c r="F19" s="219" t="s">
        <v>275</v>
      </c>
      <c r="G19" s="173" t="s">
        <v>234</v>
      </c>
      <c r="H19" s="679">
        <v>5.0750000000000002</v>
      </c>
      <c r="I19" s="637" t="s">
        <v>31</v>
      </c>
      <c r="J19" s="162">
        <f t="shared" si="1"/>
        <v>1750.3</v>
      </c>
      <c r="K19" s="161">
        <f t="shared" si="0"/>
        <v>1750.3</v>
      </c>
      <c r="L19" s="36"/>
      <c r="M19" s="36"/>
      <c r="N19" s="212">
        <v>1750.3</v>
      </c>
      <c r="O19" s="153">
        <f>N19*1.05</f>
        <v>1837.8150000000001</v>
      </c>
    </row>
    <row r="20" spans="1:15" s="35" customFormat="1" ht="20.100000000000001" customHeight="1" x14ac:dyDescent="0.25">
      <c r="A20" s="24"/>
      <c r="B20" s="638"/>
      <c r="C20" s="390" t="s">
        <v>5</v>
      </c>
      <c r="D20" s="641"/>
      <c r="E20" s="635"/>
      <c r="F20" s="219" t="s">
        <v>309</v>
      </c>
      <c r="G20" s="173" t="s">
        <v>132</v>
      </c>
      <c r="H20" s="680"/>
      <c r="I20" s="638"/>
      <c r="J20" s="162">
        <f t="shared" si="1"/>
        <v>1889.19</v>
      </c>
      <c r="K20" s="161">
        <f t="shared" si="0"/>
        <v>1889.19</v>
      </c>
      <c r="L20" s="36"/>
      <c r="M20" s="36"/>
      <c r="N20" s="213">
        <v>1889.19</v>
      </c>
      <c r="O20" s="153">
        <f>N20*1.05</f>
        <v>1983.6495000000002</v>
      </c>
    </row>
    <row r="21" spans="1:15" s="35" customFormat="1" ht="20.100000000000001" customHeight="1" x14ac:dyDescent="0.25">
      <c r="A21" s="24"/>
      <c r="B21" s="638"/>
      <c r="C21" s="390" t="s">
        <v>5</v>
      </c>
      <c r="D21" s="641"/>
      <c r="E21" s="635" t="s">
        <v>36</v>
      </c>
      <c r="F21" s="219" t="s">
        <v>297</v>
      </c>
      <c r="G21" s="173" t="s">
        <v>235</v>
      </c>
      <c r="H21" s="680"/>
      <c r="I21" s="638"/>
      <c r="J21" s="162">
        <f t="shared" ref="J21" si="8">K21-K21*$K$3</f>
        <v>2144.4899999999998</v>
      </c>
      <c r="K21" s="161">
        <f t="shared" si="0"/>
        <v>2144.4899999999998</v>
      </c>
      <c r="L21" s="36"/>
      <c r="M21" s="36"/>
      <c r="N21" s="212">
        <v>2144.4899999999998</v>
      </c>
      <c r="O21" s="153">
        <f>N21*1.05</f>
        <v>2251.7145</v>
      </c>
    </row>
    <row r="22" spans="1:15" s="35" customFormat="1" ht="20.100000000000001" customHeight="1" x14ac:dyDescent="0.25">
      <c r="A22" s="24"/>
      <c r="B22" s="638"/>
      <c r="C22" s="390" t="s">
        <v>5</v>
      </c>
      <c r="D22" s="641"/>
      <c r="E22" s="635"/>
      <c r="F22" s="219" t="s">
        <v>282</v>
      </c>
      <c r="G22" s="173" t="s">
        <v>133</v>
      </c>
      <c r="H22" s="680"/>
      <c r="I22" s="638"/>
      <c r="J22" s="162">
        <f t="shared" si="1"/>
        <v>2144.4899999999998</v>
      </c>
      <c r="K22" s="161">
        <f t="shared" si="0"/>
        <v>2144.4899999999998</v>
      </c>
      <c r="L22" s="36"/>
      <c r="M22" s="36"/>
      <c r="N22" s="217">
        <v>2144.4899999999998</v>
      </c>
      <c r="O22" s="166">
        <f t="shared" ref="O22:O87" si="9">N22*1.05</f>
        <v>2251.7145</v>
      </c>
    </row>
    <row r="23" spans="1:15" s="35" customFormat="1" ht="20.100000000000001" customHeight="1" x14ac:dyDescent="0.25">
      <c r="A23" s="24"/>
      <c r="B23" s="638"/>
      <c r="C23" s="390" t="s">
        <v>5</v>
      </c>
      <c r="D23" s="641"/>
      <c r="E23" s="635"/>
      <c r="F23" s="219" t="s">
        <v>287</v>
      </c>
      <c r="G23" s="173" t="s">
        <v>33</v>
      </c>
      <c r="H23" s="680"/>
      <c r="I23" s="638"/>
      <c r="J23" s="162">
        <f t="shared" ref="J23:J26" si="10">K23-K23*$K$3</f>
        <v>2144.4899999999998</v>
      </c>
      <c r="K23" s="161">
        <f t="shared" si="0"/>
        <v>2144.4899999999998</v>
      </c>
      <c r="L23" s="36"/>
      <c r="M23" s="36"/>
      <c r="N23" s="217">
        <v>2144.4899999999998</v>
      </c>
      <c r="O23" s="166">
        <f t="shared" ref="O23:O31" si="11">N23*1.05</f>
        <v>2251.7145</v>
      </c>
    </row>
    <row r="24" spans="1:15" s="35" customFormat="1" ht="20.100000000000001" customHeight="1" x14ac:dyDescent="0.25">
      <c r="A24" s="24"/>
      <c r="B24" s="638"/>
      <c r="C24" s="390" t="s">
        <v>5</v>
      </c>
      <c r="D24" s="641"/>
      <c r="E24" s="635"/>
      <c r="F24" s="219" t="s">
        <v>292</v>
      </c>
      <c r="G24" s="173" t="s">
        <v>34</v>
      </c>
      <c r="H24" s="680"/>
      <c r="I24" s="638"/>
      <c r="J24" s="162">
        <f t="shared" si="10"/>
        <v>2144.4899999999998</v>
      </c>
      <c r="K24" s="161">
        <f t="shared" si="0"/>
        <v>2144.4899999999998</v>
      </c>
      <c r="L24" s="36"/>
      <c r="M24" s="36"/>
      <c r="N24" s="217">
        <v>2144.4899999999998</v>
      </c>
      <c r="O24" s="166">
        <f t="shared" si="11"/>
        <v>2251.7145</v>
      </c>
    </row>
    <row r="25" spans="1:15" s="35" customFormat="1" ht="20.100000000000001" customHeight="1" x14ac:dyDescent="0.25">
      <c r="A25" s="24"/>
      <c r="B25" s="638"/>
      <c r="C25" s="390" t="s">
        <v>5</v>
      </c>
      <c r="D25" s="641"/>
      <c r="E25" s="635"/>
      <c r="F25" s="219" t="s">
        <v>301</v>
      </c>
      <c r="G25" s="173" t="s">
        <v>236</v>
      </c>
      <c r="H25" s="680"/>
      <c r="I25" s="638"/>
      <c r="J25" s="162">
        <f t="shared" si="10"/>
        <v>2144.4899999999998</v>
      </c>
      <c r="K25" s="161">
        <f t="shared" si="0"/>
        <v>2144.4899999999998</v>
      </c>
      <c r="L25" s="36"/>
      <c r="M25" s="36"/>
      <c r="N25" s="217">
        <v>2144.4899999999998</v>
      </c>
      <c r="O25" s="166">
        <f t="shared" si="11"/>
        <v>2251.7145</v>
      </c>
    </row>
    <row r="26" spans="1:15" s="35" customFormat="1" ht="20.100000000000001" customHeight="1" x14ac:dyDescent="0.25">
      <c r="A26" s="24"/>
      <c r="B26" s="638"/>
      <c r="C26" s="390" t="s">
        <v>5</v>
      </c>
      <c r="D26" s="641"/>
      <c r="E26" s="635"/>
      <c r="F26" s="219" t="s">
        <v>304</v>
      </c>
      <c r="G26" s="173" t="s">
        <v>483</v>
      </c>
      <c r="H26" s="680"/>
      <c r="I26" s="638"/>
      <c r="J26" s="162">
        <f t="shared" si="10"/>
        <v>2144.4899999999998</v>
      </c>
      <c r="K26" s="161">
        <f t="shared" si="0"/>
        <v>2144.4899999999998</v>
      </c>
      <c r="L26" s="36"/>
      <c r="M26" s="36"/>
      <c r="N26" s="217">
        <v>2144.4899999999998</v>
      </c>
      <c r="O26" s="166">
        <f t="shared" si="11"/>
        <v>2251.7145</v>
      </c>
    </row>
    <row r="27" spans="1:15" s="35" customFormat="1" ht="20.100000000000001" customHeight="1" x14ac:dyDescent="0.25">
      <c r="A27" s="24"/>
      <c r="B27" s="638"/>
      <c r="C27" s="390" t="s">
        <v>5</v>
      </c>
      <c r="D27" s="641"/>
      <c r="E27" s="385"/>
      <c r="F27" s="219" t="s">
        <v>505</v>
      </c>
      <c r="G27" s="173" t="s">
        <v>481</v>
      </c>
      <c r="H27" s="680"/>
      <c r="I27" s="638"/>
      <c r="J27" s="162">
        <f t="shared" ref="J27:J31" si="12">K27-K27*$K$3</f>
        <v>2144.4899999999998</v>
      </c>
      <c r="K27" s="161">
        <f t="shared" si="0"/>
        <v>2144.4899999999998</v>
      </c>
      <c r="L27" s="36"/>
      <c r="M27" s="36"/>
      <c r="N27" s="217">
        <v>2144.4899999999998</v>
      </c>
      <c r="O27" s="166">
        <f t="shared" si="11"/>
        <v>2251.7145</v>
      </c>
    </row>
    <row r="28" spans="1:15" s="35" customFormat="1" ht="20.100000000000001" customHeight="1" x14ac:dyDescent="0.25">
      <c r="A28" s="24"/>
      <c r="B28" s="638"/>
      <c r="C28" s="390" t="s">
        <v>5</v>
      </c>
      <c r="D28" s="641"/>
      <c r="E28" s="385"/>
      <c r="F28" s="219" t="s">
        <v>486</v>
      </c>
      <c r="G28" s="173" t="s">
        <v>478</v>
      </c>
      <c r="H28" s="680"/>
      <c r="I28" s="638"/>
      <c r="J28" s="162">
        <f t="shared" si="12"/>
        <v>2144.4899999999998</v>
      </c>
      <c r="K28" s="161">
        <f t="shared" si="0"/>
        <v>2144.4899999999998</v>
      </c>
      <c r="L28" s="36"/>
      <c r="M28" s="36"/>
      <c r="N28" s="217">
        <v>2144.4899999999998</v>
      </c>
      <c r="O28" s="166">
        <f t="shared" si="11"/>
        <v>2251.7145</v>
      </c>
    </row>
    <row r="29" spans="1:15" s="35" customFormat="1" ht="20.100000000000001" customHeight="1" x14ac:dyDescent="0.25">
      <c r="A29" s="24"/>
      <c r="B29" s="638"/>
      <c r="C29" s="390" t="s">
        <v>5</v>
      </c>
      <c r="D29" s="641"/>
      <c r="E29" s="385"/>
      <c r="F29" s="219" t="s">
        <v>500</v>
      </c>
      <c r="G29" s="173" t="s">
        <v>482</v>
      </c>
      <c r="H29" s="680"/>
      <c r="I29" s="638"/>
      <c r="J29" s="162">
        <f t="shared" si="12"/>
        <v>2144.4899999999998</v>
      </c>
      <c r="K29" s="161">
        <f t="shared" si="0"/>
        <v>2144.4899999999998</v>
      </c>
      <c r="L29" s="36"/>
      <c r="M29" s="36"/>
      <c r="N29" s="217">
        <v>2144.4899999999998</v>
      </c>
      <c r="O29" s="166">
        <f t="shared" si="11"/>
        <v>2251.7145</v>
      </c>
    </row>
    <row r="30" spans="1:15" s="35" customFormat="1" ht="20.100000000000001" customHeight="1" x14ac:dyDescent="0.25">
      <c r="A30" s="24"/>
      <c r="B30" s="638"/>
      <c r="C30" s="390" t="s">
        <v>5</v>
      </c>
      <c r="D30" s="641"/>
      <c r="E30" s="385"/>
      <c r="F30" s="219" t="s">
        <v>496</v>
      </c>
      <c r="G30" s="173" t="s">
        <v>480</v>
      </c>
      <c r="H30" s="680"/>
      <c r="I30" s="638"/>
      <c r="J30" s="162">
        <f t="shared" si="12"/>
        <v>2144.4899999999998</v>
      </c>
      <c r="K30" s="161">
        <f t="shared" si="0"/>
        <v>2144.4899999999998</v>
      </c>
      <c r="L30" s="36"/>
      <c r="M30" s="36"/>
      <c r="N30" s="217">
        <v>2144.4899999999998</v>
      </c>
      <c r="O30" s="166">
        <f t="shared" si="11"/>
        <v>2251.7145</v>
      </c>
    </row>
    <row r="31" spans="1:15" s="35" customFormat="1" ht="20.100000000000001" customHeight="1" x14ac:dyDescent="0.25">
      <c r="A31" s="24"/>
      <c r="B31" s="639"/>
      <c r="C31" s="390" t="s">
        <v>5</v>
      </c>
      <c r="D31" s="642"/>
      <c r="E31" s="385"/>
      <c r="F31" s="219" t="s">
        <v>492</v>
      </c>
      <c r="G31" s="173" t="s">
        <v>479</v>
      </c>
      <c r="H31" s="681"/>
      <c r="I31" s="639"/>
      <c r="J31" s="162">
        <f t="shared" si="12"/>
        <v>2144.4899999999998</v>
      </c>
      <c r="K31" s="161">
        <f t="shared" si="0"/>
        <v>2144.4899999999998</v>
      </c>
      <c r="L31" s="36"/>
      <c r="M31" s="36"/>
      <c r="N31" s="217">
        <v>2144.4899999999998</v>
      </c>
      <c r="O31" s="166">
        <f t="shared" si="11"/>
        <v>2251.7145</v>
      </c>
    </row>
    <row r="32" spans="1:15" s="35" customFormat="1" ht="20.100000000000001" customHeight="1" x14ac:dyDescent="0.25">
      <c r="A32" s="24"/>
      <c r="B32" s="631"/>
      <c r="C32" s="386" t="s">
        <v>4</v>
      </c>
      <c r="D32" s="633" t="s">
        <v>135</v>
      </c>
      <c r="E32" s="635" t="s">
        <v>30</v>
      </c>
      <c r="F32" s="219" t="s">
        <v>276</v>
      </c>
      <c r="G32" s="173" t="s">
        <v>234</v>
      </c>
      <c r="H32" s="636">
        <v>5</v>
      </c>
      <c r="I32" s="631" t="s">
        <v>31</v>
      </c>
      <c r="J32" s="162">
        <f t="shared" si="1"/>
        <v>5377.78</v>
      </c>
      <c r="K32" s="161">
        <f t="shared" si="0"/>
        <v>5377.78</v>
      </c>
      <c r="L32" s="36"/>
      <c r="M32" s="36"/>
      <c r="N32" s="212">
        <v>5377.78</v>
      </c>
      <c r="O32" s="153">
        <f t="shared" si="9"/>
        <v>5646.6689999999999</v>
      </c>
    </row>
    <row r="33" spans="1:15" s="35" customFormat="1" ht="20.100000000000001" customHeight="1" x14ac:dyDescent="0.25">
      <c r="A33" s="24"/>
      <c r="B33" s="631"/>
      <c r="C33" s="386" t="s">
        <v>4</v>
      </c>
      <c r="D33" s="633"/>
      <c r="E33" s="635"/>
      <c r="F33" s="219" t="s">
        <v>423</v>
      </c>
      <c r="G33" s="173" t="s">
        <v>132</v>
      </c>
      <c r="H33" s="636"/>
      <c r="I33" s="631"/>
      <c r="J33" s="162">
        <f t="shared" si="1"/>
        <v>5637.11</v>
      </c>
      <c r="K33" s="161">
        <f t="shared" si="0"/>
        <v>5637.11</v>
      </c>
      <c r="L33" s="36"/>
      <c r="M33" s="36"/>
      <c r="N33" s="212">
        <v>5637.11</v>
      </c>
      <c r="O33" s="153">
        <f t="shared" si="9"/>
        <v>5918.9655000000002</v>
      </c>
    </row>
    <row r="34" spans="1:15" s="35" customFormat="1" ht="20.100000000000001" customHeight="1" x14ac:dyDescent="0.25">
      <c r="A34" s="24"/>
      <c r="B34" s="631"/>
      <c r="C34" s="386" t="s">
        <v>17</v>
      </c>
      <c r="D34" s="633" t="s">
        <v>332</v>
      </c>
      <c r="E34" s="635" t="s">
        <v>30</v>
      </c>
      <c r="F34" s="219" t="s">
        <v>278</v>
      </c>
      <c r="G34" s="173" t="s">
        <v>234</v>
      </c>
      <c r="H34" s="636">
        <v>5.4</v>
      </c>
      <c r="I34" s="631" t="s">
        <v>31</v>
      </c>
      <c r="J34" s="162">
        <f t="shared" si="1"/>
        <v>1230.78</v>
      </c>
      <c r="K34" s="161">
        <f t="shared" si="0"/>
        <v>1230.78</v>
      </c>
      <c r="L34" s="36"/>
      <c r="M34" s="36"/>
      <c r="N34" s="212">
        <v>1230.78</v>
      </c>
      <c r="O34" s="153">
        <f t="shared" si="9"/>
        <v>1292.319</v>
      </c>
    </row>
    <row r="35" spans="1:15" s="35" customFormat="1" ht="20.100000000000001" customHeight="1" x14ac:dyDescent="0.25">
      <c r="A35" s="24"/>
      <c r="B35" s="631"/>
      <c r="C35" s="386" t="s">
        <v>17</v>
      </c>
      <c r="D35" s="633"/>
      <c r="E35" s="635"/>
      <c r="F35" s="219" t="s">
        <v>311</v>
      </c>
      <c r="G35" s="173" t="s">
        <v>132</v>
      </c>
      <c r="H35" s="636"/>
      <c r="I35" s="631"/>
      <c r="J35" s="174">
        <f t="shared" si="1"/>
        <v>1331.83</v>
      </c>
      <c r="K35" s="161">
        <f t="shared" si="0"/>
        <v>1331.83</v>
      </c>
      <c r="L35" s="36"/>
      <c r="M35" s="36"/>
      <c r="N35" s="212">
        <v>1331.83</v>
      </c>
      <c r="O35" s="153">
        <f t="shared" si="9"/>
        <v>1398.4214999999999</v>
      </c>
    </row>
    <row r="36" spans="1:15" s="35" customFormat="1" ht="20.100000000000001" customHeight="1" x14ac:dyDescent="0.25">
      <c r="A36" s="24"/>
      <c r="B36" s="631"/>
      <c r="C36" s="386" t="s">
        <v>17</v>
      </c>
      <c r="D36" s="633"/>
      <c r="E36" s="635"/>
      <c r="F36" s="219" t="s">
        <v>284</v>
      </c>
      <c r="G36" s="173" t="s">
        <v>133</v>
      </c>
      <c r="H36" s="636"/>
      <c r="I36" s="631"/>
      <c r="J36" s="174">
        <f t="shared" si="1"/>
        <v>1442.9</v>
      </c>
      <c r="K36" s="161">
        <f t="shared" si="0"/>
        <v>1442.9</v>
      </c>
      <c r="L36" s="36"/>
      <c r="M36" s="36"/>
      <c r="N36" s="213">
        <v>1442.9</v>
      </c>
      <c r="O36" s="153">
        <f t="shared" si="9"/>
        <v>1515.0450000000001</v>
      </c>
    </row>
    <row r="37" spans="1:15" s="35" customFormat="1" ht="20.100000000000001" customHeight="1" x14ac:dyDescent="0.25">
      <c r="A37" s="24"/>
      <c r="B37" s="631"/>
      <c r="C37" s="386" t="s">
        <v>3</v>
      </c>
      <c r="D37" s="633" t="s">
        <v>37</v>
      </c>
      <c r="E37" s="635" t="s">
        <v>30</v>
      </c>
      <c r="F37" s="219" t="s">
        <v>280</v>
      </c>
      <c r="G37" s="173" t="s">
        <v>234</v>
      </c>
      <c r="H37" s="636">
        <v>5</v>
      </c>
      <c r="I37" s="631" t="s">
        <v>31</v>
      </c>
      <c r="J37" s="162">
        <f t="shared" si="1"/>
        <v>3020.94</v>
      </c>
      <c r="K37" s="161">
        <f t="shared" si="0"/>
        <v>3020.94</v>
      </c>
      <c r="L37" s="36"/>
      <c r="M37" s="36"/>
      <c r="N37" s="212">
        <v>3020.94</v>
      </c>
      <c r="O37" s="153">
        <f t="shared" si="9"/>
        <v>3171.9870000000001</v>
      </c>
    </row>
    <row r="38" spans="1:15" s="35" customFormat="1" ht="20.100000000000001" customHeight="1" x14ac:dyDescent="0.25">
      <c r="A38" s="24"/>
      <c r="B38" s="631"/>
      <c r="C38" s="386" t="s">
        <v>3</v>
      </c>
      <c r="D38" s="633"/>
      <c r="E38" s="635"/>
      <c r="F38" s="219" t="s">
        <v>313</v>
      </c>
      <c r="G38" s="173" t="s">
        <v>132</v>
      </c>
      <c r="H38" s="636"/>
      <c r="I38" s="631"/>
      <c r="J38" s="162">
        <f t="shared" si="1"/>
        <v>3259.23</v>
      </c>
      <c r="K38" s="161">
        <f t="shared" ref="K38:K69" si="13">IF($K$2=$N$2,N38,O38)</f>
        <v>3259.23</v>
      </c>
      <c r="L38" s="36"/>
      <c r="M38" s="36"/>
      <c r="N38" s="212">
        <v>3259.23</v>
      </c>
      <c r="O38" s="153">
        <f t="shared" si="9"/>
        <v>3422.1915000000004</v>
      </c>
    </row>
    <row r="39" spans="1:15" s="35" customFormat="1" ht="20.100000000000001" customHeight="1" x14ac:dyDescent="0.25">
      <c r="A39" s="24"/>
      <c r="B39" s="631"/>
      <c r="C39" s="386" t="s">
        <v>3</v>
      </c>
      <c r="D39" s="633"/>
      <c r="E39" s="635" t="s">
        <v>32</v>
      </c>
      <c r="F39" s="219" t="s">
        <v>299</v>
      </c>
      <c r="G39" s="173" t="s">
        <v>235</v>
      </c>
      <c r="H39" s="636"/>
      <c r="I39" s="631"/>
      <c r="J39" s="162">
        <f t="shared" si="1"/>
        <v>4286.54</v>
      </c>
      <c r="K39" s="161">
        <f t="shared" si="13"/>
        <v>4286.54</v>
      </c>
      <c r="L39" s="36"/>
      <c r="M39" s="36"/>
      <c r="N39" s="213">
        <v>4286.54</v>
      </c>
      <c r="O39" s="153">
        <f t="shared" si="9"/>
        <v>4500.8670000000002</v>
      </c>
    </row>
    <row r="40" spans="1:15" s="35" customFormat="1" ht="20.100000000000001" customHeight="1" x14ac:dyDescent="0.25">
      <c r="A40" s="24"/>
      <c r="B40" s="631"/>
      <c r="C40" s="386" t="s">
        <v>3</v>
      </c>
      <c r="D40" s="633"/>
      <c r="E40" s="635"/>
      <c r="F40" s="219" t="s">
        <v>491</v>
      </c>
      <c r="G40" s="173" t="s">
        <v>133</v>
      </c>
      <c r="H40" s="636"/>
      <c r="I40" s="631"/>
      <c r="J40" s="162">
        <f t="shared" si="1"/>
        <v>4286.54</v>
      </c>
      <c r="K40" s="161">
        <f t="shared" si="13"/>
        <v>4286.54</v>
      </c>
      <c r="L40" s="36"/>
      <c r="M40" s="36"/>
      <c r="N40" s="217">
        <v>4286.54</v>
      </c>
      <c r="O40" s="166">
        <f t="shared" si="9"/>
        <v>4500.8670000000002</v>
      </c>
    </row>
    <row r="41" spans="1:15" s="35" customFormat="1" ht="20.100000000000001" customHeight="1" x14ac:dyDescent="0.25">
      <c r="A41" s="24"/>
      <c r="B41" s="631"/>
      <c r="C41" s="386" t="s">
        <v>3</v>
      </c>
      <c r="D41" s="633"/>
      <c r="E41" s="635"/>
      <c r="F41" s="219" t="s">
        <v>290</v>
      </c>
      <c r="G41" s="173" t="s">
        <v>33</v>
      </c>
      <c r="H41" s="636"/>
      <c r="I41" s="631"/>
      <c r="J41" s="162">
        <f t="shared" ref="J41:J43" si="14">K41-K41*$K$3</f>
        <v>4286.54</v>
      </c>
      <c r="K41" s="161">
        <f t="shared" si="13"/>
        <v>4286.54</v>
      </c>
      <c r="L41" s="36"/>
      <c r="M41" s="36"/>
      <c r="N41" s="217">
        <v>4286.54</v>
      </c>
      <c r="O41" s="166">
        <f t="shared" ref="O41:O43" si="15">N41*1.05</f>
        <v>4500.8670000000002</v>
      </c>
    </row>
    <row r="42" spans="1:15" s="35" customFormat="1" ht="20.100000000000001" customHeight="1" x14ac:dyDescent="0.25">
      <c r="A42" s="24"/>
      <c r="B42" s="631"/>
      <c r="C42" s="386" t="s">
        <v>3</v>
      </c>
      <c r="D42" s="633"/>
      <c r="E42" s="635"/>
      <c r="F42" s="219" t="s">
        <v>295</v>
      </c>
      <c r="G42" s="173" t="s">
        <v>34</v>
      </c>
      <c r="H42" s="636"/>
      <c r="I42" s="631"/>
      <c r="J42" s="162">
        <f t="shared" si="14"/>
        <v>4286.54</v>
      </c>
      <c r="K42" s="161">
        <f t="shared" si="13"/>
        <v>4286.54</v>
      </c>
      <c r="L42" s="36"/>
      <c r="M42" s="36"/>
      <c r="N42" s="217">
        <v>4286.54</v>
      </c>
      <c r="O42" s="166">
        <f t="shared" si="15"/>
        <v>4500.8670000000002</v>
      </c>
    </row>
    <row r="43" spans="1:15" s="35" customFormat="1" ht="20.100000000000001" customHeight="1" x14ac:dyDescent="0.25">
      <c r="A43" s="24"/>
      <c r="B43" s="631"/>
      <c r="C43" s="386" t="s">
        <v>3</v>
      </c>
      <c r="D43" s="633"/>
      <c r="E43" s="635"/>
      <c r="F43" s="219" t="s">
        <v>484</v>
      </c>
      <c r="G43" s="173" t="s">
        <v>236</v>
      </c>
      <c r="H43" s="636"/>
      <c r="I43" s="631"/>
      <c r="J43" s="162">
        <f t="shared" si="14"/>
        <v>4286.54</v>
      </c>
      <c r="K43" s="161">
        <f t="shared" si="13"/>
        <v>4286.54</v>
      </c>
      <c r="L43" s="36"/>
      <c r="M43" s="36"/>
      <c r="N43" s="217">
        <v>4286.54</v>
      </c>
      <c r="O43" s="166">
        <f t="shared" si="15"/>
        <v>4500.8670000000002</v>
      </c>
    </row>
    <row r="44" spans="1:15" s="35" customFormat="1" ht="20.100000000000001" customHeight="1" x14ac:dyDescent="0.25">
      <c r="A44" s="24"/>
      <c r="B44" s="631"/>
      <c r="C44" s="386" t="s">
        <v>3</v>
      </c>
      <c r="D44" s="633"/>
      <c r="E44" s="635"/>
      <c r="F44" s="219" t="s">
        <v>307</v>
      </c>
      <c r="G44" s="173" t="s">
        <v>483</v>
      </c>
      <c r="H44" s="636"/>
      <c r="I44" s="631"/>
      <c r="J44" s="162">
        <f>K44-K44*$K$3</f>
        <v>4286.54</v>
      </c>
      <c r="K44" s="161">
        <f t="shared" si="13"/>
        <v>4286.54</v>
      </c>
      <c r="L44" s="36"/>
      <c r="M44" s="36"/>
      <c r="N44" s="217">
        <v>4286.54</v>
      </c>
      <c r="O44" s="166">
        <f>N44*1.05</f>
        <v>4500.8670000000002</v>
      </c>
    </row>
    <row r="45" spans="1:15" s="35" customFormat="1" ht="20.100000000000001" customHeight="1" x14ac:dyDescent="0.25">
      <c r="A45" s="24"/>
      <c r="B45" s="631"/>
      <c r="C45" s="386" t="s">
        <v>3</v>
      </c>
      <c r="D45" s="633"/>
      <c r="E45" s="635"/>
      <c r="F45" s="219" t="s">
        <v>507</v>
      </c>
      <c r="G45" s="173" t="s">
        <v>481</v>
      </c>
      <c r="H45" s="636"/>
      <c r="I45" s="631"/>
      <c r="J45" s="162">
        <f t="shared" ref="J45:J49" si="16">K45-K45*$K$3</f>
        <v>4286.54</v>
      </c>
      <c r="K45" s="161">
        <f t="shared" si="13"/>
        <v>4286.54</v>
      </c>
      <c r="L45" s="36"/>
      <c r="M45" s="36"/>
      <c r="N45" s="217">
        <v>4286.54</v>
      </c>
      <c r="O45" s="166">
        <f t="shared" ref="O45:O49" si="17">N45*1.05</f>
        <v>4500.8670000000002</v>
      </c>
    </row>
    <row r="46" spans="1:15" s="35" customFormat="1" ht="20.100000000000001" customHeight="1" x14ac:dyDescent="0.25">
      <c r="A46" s="24"/>
      <c r="B46" s="631"/>
      <c r="C46" s="386" t="s">
        <v>3</v>
      </c>
      <c r="D46" s="633"/>
      <c r="E46" s="635"/>
      <c r="F46" s="219" t="s">
        <v>489</v>
      </c>
      <c r="G46" s="173" t="s">
        <v>478</v>
      </c>
      <c r="H46" s="636"/>
      <c r="I46" s="631"/>
      <c r="J46" s="162">
        <f t="shared" si="16"/>
        <v>4286.54</v>
      </c>
      <c r="K46" s="161">
        <f t="shared" si="13"/>
        <v>4286.54</v>
      </c>
      <c r="L46" s="36"/>
      <c r="M46" s="36"/>
      <c r="N46" s="217">
        <v>4286.54</v>
      </c>
      <c r="O46" s="166">
        <f t="shared" si="17"/>
        <v>4500.8670000000002</v>
      </c>
    </row>
    <row r="47" spans="1:15" s="35" customFormat="1" ht="20.100000000000001" customHeight="1" x14ac:dyDescent="0.25">
      <c r="A47" s="24"/>
      <c r="B47" s="631"/>
      <c r="C47" s="386" t="s">
        <v>3</v>
      </c>
      <c r="D47" s="633"/>
      <c r="E47" s="635"/>
      <c r="F47" s="219" t="s">
        <v>503</v>
      </c>
      <c r="G47" s="173" t="s">
        <v>482</v>
      </c>
      <c r="H47" s="636"/>
      <c r="I47" s="631"/>
      <c r="J47" s="162">
        <f t="shared" si="16"/>
        <v>4286.54</v>
      </c>
      <c r="K47" s="161">
        <f t="shared" si="13"/>
        <v>4286.54</v>
      </c>
      <c r="L47" s="36"/>
      <c r="M47" s="36"/>
      <c r="N47" s="217">
        <v>4286.54</v>
      </c>
      <c r="O47" s="166">
        <f t="shared" si="17"/>
        <v>4500.8670000000002</v>
      </c>
    </row>
    <row r="48" spans="1:15" s="35" customFormat="1" ht="20.100000000000001" customHeight="1" x14ac:dyDescent="0.25">
      <c r="A48" s="24"/>
      <c r="B48" s="631"/>
      <c r="C48" s="386" t="s">
        <v>3</v>
      </c>
      <c r="D48" s="633"/>
      <c r="E48" s="635"/>
      <c r="F48" s="219" t="s">
        <v>498</v>
      </c>
      <c r="G48" s="173" t="s">
        <v>480</v>
      </c>
      <c r="H48" s="636"/>
      <c r="I48" s="631"/>
      <c r="J48" s="162">
        <f t="shared" si="16"/>
        <v>4286.54</v>
      </c>
      <c r="K48" s="161">
        <f t="shared" si="13"/>
        <v>4286.54</v>
      </c>
      <c r="L48" s="36"/>
      <c r="M48" s="36"/>
      <c r="N48" s="217">
        <v>4286.54</v>
      </c>
      <c r="O48" s="166">
        <f t="shared" si="17"/>
        <v>4500.8670000000002</v>
      </c>
    </row>
    <row r="49" spans="1:15" s="35" customFormat="1" ht="20.100000000000001" customHeight="1" x14ac:dyDescent="0.25">
      <c r="A49" s="24"/>
      <c r="B49" s="631"/>
      <c r="C49" s="386" t="s">
        <v>3</v>
      </c>
      <c r="D49" s="633"/>
      <c r="E49" s="635"/>
      <c r="F49" s="389" t="s">
        <v>494</v>
      </c>
      <c r="G49" s="173" t="s">
        <v>479</v>
      </c>
      <c r="H49" s="636"/>
      <c r="I49" s="631"/>
      <c r="J49" s="162">
        <f t="shared" si="16"/>
        <v>4286.54</v>
      </c>
      <c r="K49" s="161">
        <f t="shared" si="13"/>
        <v>4286.54</v>
      </c>
      <c r="L49" s="36"/>
      <c r="M49" s="36"/>
      <c r="N49" s="389">
        <v>4286.54</v>
      </c>
      <c r="O49" s="166">
        <f t="shared" si="17"/>
        <v>4500.8670000000002</v>
      </c>
    </row>
    <row r="50" spans="1:15" s="35" customFormat="1" ht="20.100000000000001" customHeight="1" x14ac:dyDescent="0.25">
      <c r="A50" s="24"/>
      <c r="B50" s="631"/>
      <c r="C50" s="386" t="s">
        <v>459</v>
      </c>
      <c r="D50" s="633" t="s">
        <v>246</v>
      </c>
      <c r="E50" s="635" t="s">
        <v>30</v>
      </c>
      <c r="F50" s="219" t="s">
        <v>281</v>
      </c>
      <c r="G50" s="173" t="s">
        <v>234</v>
      </c>
      <c r="H50" s="636">
        <v>5</v>
      </c>
      <c r="I50" s="631" t="s">
        <v>31</v>
      </c>
      <c r="J50" s="162">
        <f t="shared" si="1"/>
        <v>3539.74</v>
      </c>
      <c r="K50" s="161">
        <f t="shared" si="13"/>
        <v>3539.74</v>
      </c>
      <c r="L50" s="36"/>
      <c r="M50" s="36"/>
      <c r="N50" s="212">
        <v>3539.74</v>
      </c>
      <c r="O50" s="153">
        <f t="shared" si="9"/>
        <v>3716.7269999999999</v>
      </c>
    </row>
    <row r="51" spans="1:15" s="35" customFormat="1" ht="20.100000000000001" customHeight="1" x14ac:dyDescent="0.25">
      <c r="A51" s="24"/>
      <c r="B51" s="631"/>
      <c r="C51" s="386" t="s">
        <v>459</v>
      </c>
      <c r="D51" s="633"/>
      <c r="E51" s="635"/>
      <c r="F51" s="219" t="s">
        <v>314</v>
      </c>
      <c r="G51" s="173" t="s">
        <v>132</v>
      </c>
      <c r="H51" s="636"/>
      <c r="I51" s="631"/>
      <c r="J51" s="162">
        <f t="shared" si="1"/>
        <v>3809.36</v>
      </c>
      <c r="K51" s="161">
        <f t="shared" si="13"/>
        <v>3809.36</v>
      </c>
      <c r="L51" s="36"/>
      <c r="M51" s="36"/>
      <c r="N51" s="212">
        <v>3809.36</v>
      </c>
      <c r="O51" s="153">
        <f t="shared" si="9"/>
        <v>3999.8280000000004</v>
      </c>
    </row>
    <row r="52" spans="1:15" s="35" customFormat="1" ht="20.100000000000001" customHeight="1" x14ac:dyDescent="0.25">
      <c r="A52" s="24"/>
      <c r="B52" s="631"/>
      <c r="C52" s="386" t="s">
        <v>459</v>
      </c>
      <c r="D52" s="633"/>
      <c r="E52" s="635" t="s">
        <v>32</v>
      </c>
      <c r="F52" s="219" t="s">
        <v>300</v>
      </c>
      <c r="G52" s="173" t="s">
        <v>235</v>
      </c>
      <c r="H52" s="636"/>
      <c r="I52" s="631"/>
      <c r="J52" s="162">
        <f t="shared" ref="J52" si="18">K52-K52*$K$3</f>
        <v>5249.94</v>
      </c>
      <c r="K52" s="161">
        <f t="shared" si="13"/>
        <v>5249.94</v>
      </c>
      <c r="L52" s="36"/>
      <c r="M52" s="36"/>
      <c r="N52" s="213">
        <v>5249.94</v>
      </c>
      <c r="O52" s="153">
        <f t="shared" si="9"/>
        <v>5512.4369999999999</v>
      </c>
    </row>
    <row r="53" spans="1:15" s="35" customFormat="1" ht="20.100000000000001" customHeight="1" x14ac:dyDescent="0.25">
      <c r="A53" s="24"/>
      <c r="B53" s="631"/>
      <c r="C53" s="386" t="s">
        <v>459</v>
      </c>
      <c r="D53" s="633"/>
      <c r="E53" s="635"/>
      <c r="F53" s="219" t="s">
        <v>286</v>
      </c>
      <c r="G53" s="173" t="s">
        <v>133</v>
      </c>
      <c r="H53" s="636"/>
      <c r="I53" s="631"/>
      <c r="J53" s="162">
        <f t="shared" si="1"/>
        <v>5249.94</v>
      </c>
      <c r="K53" s="161">
        <f t="shared" si="13"/>
        <v>5249.94</v>
      </c>
      <c r="L53" s="36"/>
      <c r="M53" s="36"/>
      <c r="N53" s="217">
        <v>5249.94</v>
      </c>
      <c r="O53" s="166">
        <f t="shared" si="9"/>
        <v>5512.4369999999999</v>
      </c>
    </row>
    <row r="54" spans="1:15" s="35" customFormat="1" ht="20.100000000000001" customHeight="1" x14ac:dyDescent="0.25">
      <c r="A54" s="24"/>
      <c r="B54" s="631"/>
      <c r="C54" s="386" t="s">
        <v>459</v>
      </c>
      <c r="D54" s="633"/>
      <c r="E54" s="635"/>
      <c r="F54" s="219" t="s">
        <v>291</v>
      </c>
      <c r="G54" s="173" t="s">
        <v>33</v>
      </c>
      <c r="H54" s="636"/>
      <c r="I54" s="631"/>
      <c r="J54" s="162">
        <f t="shared" ref="J54:J56" si="19">K54-K54*$K$3</f>
        <v>5249.94</v>
      </c>
      <c r="K54" s="161">
        <f t="shared" si="13"/>
        <v>5249.94</v>
      </c>
      <c r="L54" s="36"/>
      <c r="M54" s="36"/>
      <c r="N54" s="217">
        <v>5249.94</v>
      </c>
      <c r="O54" s="166">
        <f t="shared" ref="O54:O56" si="20">N54*1.05</f>
        <v>5512.4369999999999</v>
      </c>
    </row>
    <row r="55" spans="1:15" s="35" customFormat="1" ht="20.100000000000001" customHeight="1" x14ac:dyDescent="0.25">
      <c r="A55" s="24"/>
      <c r="B55" s="631"/>
      <c r="C55" s="386" t="s">
        <v>459</v>
      </c>
      <c r="D55" s="633"/>
      <c r="E55" s="635"/>
      <c r="F55" s="219" t="s">
        <v>296</v>
      </c>
      <c r="G55" s="173" t="s">
        <v>34</v>
      </c>
      <c r="H55" s="636"/>
      <c r="I55" s="631"/>
      <c r="J55" s="162">
        <f t="shared" si="19"/>
        <v>5249.94</v>
      </c>
      <c r="K55" s="161">
        <f t="shared" si="13"/>
        <v>5249.94</v>
      </c>
      <c r="L55" s="36"/>
      <c r="M55" s="36"/>
      <c r="N55" s="217">
        <v>5249.94</v>
      </c>
      <c r="O55" s="166">
        <f t="shared" si="20"/>
        <v>5512.4369999999999</v>
      </c>
    </row>
    <row r="56" spans="1:15" s="35" customFormat="1" ht="20.100000000000001" customHeight="1" x14ac:dyDescent="0.25">
      <c r="A56" s="24"/>
      <c r="B56" s="631"/>
      <c r="C56" s="386" t="s">
        <v>459</v>
      </c>
      <c r="D56" s="633"/>
      <c r="E56" s="635"/>
      <c r="F56" s="219" t="s">
        <v>485</v>
      </c>
      <c r="G56" s="173" t="s">
        <v>236</v>
      </c>
      <c r="H56" s="636"/>
      <c r="I56" s="631"/>
      <c r="J56" s="162">
        <f t="shared" si="19"/>
        <v>5249.94</v>
      </c>
      <c r="K56" s="161">
        <f t="shared" si="13"/>
        <v>5249.94</v>
      </c>
      <c r="L56" s="36"/>
      <c r="M56" s="36"/>
      <c r="N56" s="217">
        <v>5249.94</v>
      </c>
      <c r="O56" s="166">
        <f t="shared" si="20"/>
        <v>5512.4369999999999</v>
      </c>
    </row>
    <row r="57" spans="1:15" s="35" customFormat="1" ht="20.100000000000001" customHeight="1" x14ac:dyDescent="0.25">
      <c r="A57" s="24"/>
      <c r="B57" s="631"/>
      <c r="C57" s="386" t="s">
        <v>459</v>
      </c>
      <c r="D57" s="633"/>
      <c r="E57" s="635"/>
      <c r="F57" s="219" t="s">
        <v>308</v>
      </c>
      <c r="G57" s="173" t="s">
        <v>483</v>
      </c>
      <c r="H57" s="636"/>
      <c r="I57" s="631"/>
      <c r="J57" s="162">
        <f>K57-K57*$K$3</f>
        <v>5249.94</v>
      </c>
      <c r="K57" s="161">
        <f t="shared" si="13"/>
        <v>5249.94</v>
      </c>
      <c r="L57" s="36"/>
      <c r="M57" s="36"/>
      <c r="N57" s="217">
        <v>5249.94</v>
      </c>
      <c r="O57" s="166">
        <f>N57*1.05</f>
        <v>5512.4369999999999</v>
      </c>
    </row>
    <row r="58" spans="1:15" s="35" customFormat="1" ht="20.100000000000001" customHeight="1" x14ac:dyDescent="0.25">
      <c r="A58" s="24"/>
      <c r="B58" s="631"/>
      <c r="C58" s="386" t="s">
        <v>459</v>
      </c>
      <c r="D58" s="633"/>
      <c r="E58" s="635"/>
      <c r="F58" s="219" t="s">
        <v>508</v>
      </c>
      <c r="G58" s="173" t="s">
        <v>481</v>
      </c>
      <c r="H58" s="636"/>
      <c r="I58" s="631"/>
      <c r="J58" s="162">
        <f t="shared" ref="J58:J62" si="21">K58-K58*$K$3</f>
        <v>5249.94</v>
      </c>
      <c r="K58" s="161">
        <f t="shared" si="13"/>
        <v>5249.94</v>
      </c>
      <c r="L58" s="36"/>
      <c r="M58" s="36"/>
      <c r="N58" s="217">
        <v>5249.94</v>
      </c>
      <c r="O58" s="166">
        <f t="shared" ref="O58:O62" si="22">N58*1.05</f>
        <v>5512.4369999999999</v>
      </c>
    </row>
    <row r="59" spans="1:15" s="35" customFormat="1" ht="20.100000000000001" customHeight="1" x14ac:dyDescent="0.25">
      <c r="A59" s="24"/>
      <c r="B59" s="631"/>
      <c r="C59" s="386" t="s">
        <v>459</v>
      </c>
      <c r="D59" s="633"/>
      <c r="E59" s="635"/>
      <c r="F59" s="219" t="s">
        <v>490</v>
      </c>
      <c r="G59" s="173" t="s">
        <v>478</v>
      </c>
      <c r="H59" s="636"/>
      <c r="I59" s="631"/>
      <c r="J59" s="162">
        <f t="shared" si="21"/>
        <v>5249.94</v>
      </c>
      <c r="K59" s="161">
        <f t="shared" si="13"/>
        <v>5249.94</v>
      </c>
      <c r="L59" s="36"/>
      <c r="M59" s="36"/>
      <c r="N59" s="217">
        <v>5249.94</v>
      </c>
      <c r="O59" s="166">
        <f t="shared" si="22"/>
        <v>5512.4369999999999</v>
      </c>
    </row>
    <row r="60" spans="1:15" s="35" customFormat="1" ht="20.100000000000001" customHeight="1" x14ac:dyDescent="0.25">
      <c r="A60" s="24"/>
      <c r="B60" s="631"/>
      <c r="C60" s="386" t="s">
        <v>459</v>
      </c>
      <c r="D60" s="633"/>
      <c r="E60" s="635"/>
      <c r="F60" s="219" t="s">
        <v>504</v>
      </c>
      <c r="G60" s="173" t="s">
        <v>482</v>
      </c>
      <c r="H60" s="636"/>
      <c r="I60" s="631"/>
      <c r="J60" s="162">
        <f t="shared" si="21"/>
        <v>5249.94</v>
      </c>
      <c r="K60" s="161">
        <f t="shared" si="13"/>
        <v>5249.94</v>
      </c>
      <c r="L60" s="36"/>
      <c r="M60" s="36"/>
      <c r="N60" s="217">
        <v>5249.94</v>
      </c>
      <c r="O60" s="166">
        <f t="shared" si="22"/>
        <v>5512.4369999999999</v>
      </c>
    </row>
    <row r="61" spans="1:15" s="35" customFormat="1" ht="20.100000000000001" customHeight="1" x14ac:dyDescent="0.25">
      <c r="A61" s="24"/>
      <c r="B61" s="631"/>
      <c r="C61" s="386" t="s">
        <v>459</v>
      </c>
      <c r="D61" s="633"/>
      <c r="E61" s="635"/>
      <c r="F61" s="219" t="s">
        <v>499</v>
      </c>
      <c r="G61" s="173" t="s">
        <v>480</v>
      </c>
      <c r="H61" s="636"/>
      <c r="I61" s="631"/>
      <c r="J61" s="162">
        <f t="shared" si="21"/>
        <v>5249.94</v>
      </c>
      <c r="K61" s="161">
        <f t="shared" si="13"/>
        <v>5249.94</v>
      </c>
      <c r="L61" s="36"/>
      <c r="M61" s="36"/>
      <c r="N61" s="217">
        <v>5249.94</v>
      </c>
      <c r="O61" s="166">
        <f t="shared" si="22"/>
        <v>5512.4369999999999</v>
      </c>
    </row>
    <row r="62" spans="1:15" s="35" customFormat="1" ht="20.100000000000001" customHeight="1" x14ac:dyDescent="0.25">
      <c r="A62" s="24"/>
      <c r="B62" s="631"/>
      <c r="C62" s="386" t="s">
        <v>459</v>
      </c>
      <c r="D62" s="633"/>
      <c r="E62" s="635"/>
      <c r="F62" s="389" t="s">
        <v>495</v>
      </c>
      <c r="G62" s="173" t="s">
        <v>479</v>
      </c>
      <c r="H62" s="636"/>
      <c r="I62" s="631"/>
      <c r="J62" s="162">
        <f t="shared" si="21"/>
        <v>5249.94</v>
      </c>
      <c r="K62" s="161">
        <f t="shared" si="13"/>
        <v>5249.94</v>
      </c>
      <c r="L62" s="36"/>
      <c r="M62" s="36"/>
      <c r="N62" s="389">
        <v>5249.94</v>
      </c>
      <c r="O62" s="166">
        <f t="shared" si="22"/>
        <v>5512.4369999999999</v>
      </c>
    </row>
    <row r="63" spans="1:15" s="35" customFormat="1" ht="20.100000000000001" customHeight="1" x14ac:dyDescent="0.25">
      <c r="A63" s="24"/>
      <c r="B63" s="631"/>
      <c r="C63" s="386" t="s">
        <v>455</v>
      </c>
      <c r="D63" s="633" t="s">
        <v>38</v>
      </c>
      <c r="E63" s="635" t="s">
        <v>30</v>
      </c>
      <c r="F63" s="219" t="s">
        <v>279</v>
      </c>
      <c r="G63" s="173" t="s">
        <v>234</v>
      </c>
      <c r="H63" s="636">
        <v>5.4</v>
      </c>
      <c r="I63" s="631" t="s">
        <v>31</v>
      </c>
      <c r="J63" s="162">
        <f t="shared" si="1"/>
        <v>2950.79</v>
      </c>
      <c r="K63" s="163">
        <f t="shared" si="13"/>
        <v>2950.79</v>
      </c>
      <c r="L63" s="36"/>
      <c r="M63" s="36"/>
      <c r="N63" s="212">
        <v>2950.79</v>
      </c>
      <c r="O63" s="153">
        <f t="shared" si="9"/>
        <v>3098.3295000000003</v>
      </c>
    </row>
    <row r="64" spans="1:15" s="35" customFormat="1" ht="20.100000000000001" customHeight="1" x14ac:dyDescent="0.25">
      <c r="A64" s="24"/>
      <c r="B64" s="631"/>
      <c r="C64" s="386" t="s">
        <v>455</v>
      </c>
      <c r="D64" s="633"/>
      <c r="E64" s="635"/>
      <c r="F64" s="219" t="s">
        <v>312</v>
      </c>
      <c r="G64" s="173" t="s">
        <v>132</v>
      </c>
      <c r="H64" s="636"/>
      <c r="I64" s="631"/>
      <c r="J64" s="162">
        <f t="shared" si="1"/>
        <v>3192.72</v>
      </c>
      <c r="K64" s="163">
        <f t="shared" si="13"/>
        <v>3192.72</v>
      </c>
      <c r="L64" s="36"/>
      <c r="M64" s="36"/>
      <c r="N64" s="212">
        <v>3192.72</v>
      </c>
      <c r="O64" s="153">
        <f t="shared" si="9"/>
        <v>3352.3559999999998</v>
      </c>
    </row>
    <row r="65" spans="1:15" s="35" customFormat="1" ht="20.100000000000001" customHeight="1" x14ac:dyDescent="0.25">
      <c r="A65" s="24"/>
      <c r="B65" s="631"/>
      <c r="C65" s="386" t="s">
        <v>455</v>
      </c>
      <c r="D65" s="633"/>
      <c r="E65" s="635"/>
      <c r="F65" s="219" t="s">
        <v>285</v>
      </c>
      <c r="G65" s="173" t="s">
        <v>133</v>
      </c>
      <c r="H65" s="636"/>
      <c r="I65" s="631"/>
      <c r="J65" s="162">
        <f t="shared" si="1"/>
        <v>4792.2700000000004</v>
      </c>
      <c r="K65" s="163">
        <f t="shared" si="13"/>
        <v>4792.2700000000004</v>
      </c>
      <c r="L65" s="36"/>
      <c r="M65" s="36"/>
      <c r="N65" s="217">
        <v>4792.2700000000004</v>
      </c>
      <c r="O65" s="166">
        <f t="shared" si="9"/>
        <v>5031.8835000000008</v>
      </c>
    </row>
    <row r="66" spans="1:15" s="35" customFormat="1" ht="20.100000000000001" customHeight="1" x14ac:dyDescent="0.25">
      <c r="A66" s="24"/>
      <c r="B66" s="631"/>
      <c r="C66" s="386" t="s">
        <v>455</v>
      </c>
      <c r="D66" s="633"/>
      <c r="E66" s="635"/>
      <c r="F66" s="219" t="s">
        <v>289</v>
      </c>
      <c r="G66" s="173" t="s">
        <v>33</v>
      </c>
      <c r="H66" s="636"/>
      <c r="I66" s="631"/>
      <c r="J66" s="162">
        <f t="shared" ref="J66:J68" si="23">K66-K66*$K$3</f>
        <v>4792.2700000000004</v>
      </c>
      <c r="K66" s="163">
        <f t="shared" si="13"/>
        <v>4792.2700000000004</v>
      </c>
      <c r="L66" s="36"/>
      <c r="M66" s="36"/>
      <c r="N66" s="217">
        <v>4792.2700000000004</v>
      </c>
      <c r="O66" s="166">
        <f t="shared" ref="O66:O68" si="24">N66*1.05</f>
        <v>5031.8835000000008</v>
      </c>
    </row>
    <row r="67" spans="1:15" s="35" customFormat="1" ht="20.100000000000001" customHeight="1" x14ac:dyDescent="0.25">
      <c r="A67" s="24"/>
      <c r="B67" s="631"/>
      <c r="C67" s="386" t="s">
        <v>455</v>
      </c>
      <c r="D67" s="633"/>
      <c r="E67" s="635"/>
      <c r="F67" s="219" t="s">
        <v>294</v>
      </c>
      <c r="G67" s="173" t="s">
        <v>34</v>
      </c>
      <c r="H67" s="636"/>
      <c r="I67" s="631"/>
      <c r="J67" s="162">
        <f t="shared" si="23"/>
        <v>4792.2700000000004</v>
      </c>
      <c r="K67" s="163">
        <f t="shared" si="13"/>
        <v>4792.2700000000004</v>
      </c>
      <c r="L67" s="36"/>
      <c r="M67" s="36"/>
      <c r="N67" s="217">
        <v>4792.2700000000004</v>
      </c>
      <c r="O67" s="166">
        <f t="shared" si="24"/>
        <v>5031.8835000000008</v>
      </c>
    </row>
    <row r="68" spans="1:15" s="35" customFormat="1" ht="20.100000000000001" customHeight="1" x14ac:dyDescent="0.25">
      <c r="A68" s="24"/>
      <c r="B68" s="631"/>
      <c r="C68" s="386" t="s">
        <v>455</v>
      </c>
      <c r="D68" s="633"/>
      <c r="E68" s="635"/>
      <c r="F68" s="219" t="s">
        <v>303</v>
      </c>
      <c r="G68" s="173" t="s">
        <v>236</v>
      </c>
      <c r="H68" s="636"/>
      <c r="I68" s="631"/>
      <c r="J68" s="162">
        <f t="shared" si="23"/>
        <v>4792.2700000000004</v>
      </c>
      <c r="K68" s="163">
        <f t="shared" si="13"/>
        <v>4792.2700000000004</v>
      </c>
      <c r="L68" s="36"/>
      <c r="M68" s="36"/>
      <c r="N68" s="217">
        <v>4792.2700000000004</v>
      </c>
      <c r="O68" s="166">
        <f t="shared" si="24"/>
        <v>5031.8835000000008</v>
      </c>
    </row>
    <row r="69" spans="1:15" s="35" customFormat="1" ht="20.100000000000001" customHeight="1" x14ac:dyDescent="0.25">
      <c r="A69" s="24"/>
      <c r="B69" s="631"/>
      <c r="C69" s="386" t="s">
        <v>455</v>
      </c>
      <c r="D69" s="633"/>
      <c r="E69" s="635"/>
      <c r="F69" s="219" t="s">
        <v>306</v>
      </c>
      <c r="G69" s="173" t="s">
        <v>483</v>
      </c>
      <c r="H69" s="636"/>
      <c r="I69" s="631"/>
      <c r="J69" s="162">
        <f>K69-K69*$K$3</f>
        <v>4792.2700000000004</v>
      </c>
      <c r="K69" s="163">
        <f t="shared" si="13"/>
        <v>4792.2700000000004</v>
      </c>
      <c r="L69" s="36"/>
      <c r="M69" s="36"/>
      <c r="N69" s="217">
        <v>4792.2700000000004</v>
      </c>
      <c r="O69" s="166">
        <f>N69*1.05</f>
        <v>5031.8835000000008</v>
      </c>
    </row>
    <row r="70" spans="1:15" s="35" customFormat="1" ht="20.100000000000001" customHeight="1" x14ac:dyDescent="0.25">
      <c r="A70" s="24"/>
      <c r="B70" s="631"/>
      <c r="C70" s="386" t="s">
        <v>455</v>
      </c>
      <c r="D70" s="633"/>
      <c r="E70" s="635"/>
      <c r="F70" s="219" t="s">
        <v>488</v>
      </c>
      <c r="G70" s="173" t="s">
        <v>478</v>
      </c>
      <c r="H70" s="636"/>
      <c r="I70" s="631"/>
      <c r="J70" s="162">
        <f t="shared" ref="J70:J71" si="25">K70-K70*$K$3</f>
        <v>4792.2700000000004</v>
      </c>
      <c r="K70" s="163">
        <f t="shared" ref="K70:K98" si="26">IF($K$2=$N$2,N70,O70)</f>
        <v>4792.2700000000004</v>
      </c>
      <c r="L70" s="36"/>
      <c r="M70" s="36"/>
      <c r="N70" s="217">
        <v>4792.2700000000004</v>
      </c>
      <c r="O70" s="166">
        <f t="shared" ref="O70:O71" si="27">N70*1.05</f>
        <v>5031.8835000000008</v>
      </c>
    </row>
    <row r="71" spans="1:15" s="35" customFormat="1" ht="20.100000000000001" customHeight="1" x14ac:dyDescent="0.25">
      <c r="A71" s="24"/>
      <c r="B71" s="631"/>
      <c r="C71" s="386" t="s">
        <v>455</v>
      </c>
      <c r="D71" s="633"/>
      <c r="E71" s="635"/>
      <c r="F71" s="219" t="s">
        <v>502</v>
      </c>
      <c r="G71" s="173" t="s">
        <v>482</v>
      </c>
      <c r="H71" s="636"/>
      <c r="I71" s="631"/>
      <c r="J71" s="162">
        <f t="shared" si="25"/>
        <v>4792.2700000000004</v>
      </c>
      <c r="K71" s="163">
        <f t="shared" si="26"/>
        <v>4792.2700000000004</v>
      </c>
      <c r="L71" s="36"/>
      <c r="M71" s="36"/>
      <c r="N71" s="217">
        <v>4792.2700000000004</v>
      </c>
      <c r="O71" s="166">
        <f t="shared" si="27"/>
        <v>5031.8835000000008</v>
      </c>
    </row>
    <row r="72" spans="1:15" s="35" customFormat="1" ht="20.100000000000001" customHeight="1" x14ac:dyDescent="0.25">
      <c r="A72" s="24"/>
      <c r="B72" s="637"/>
      <c r="C72" s="390" t="s">
        <v>519</v>
      </c>
      <c r="D72" s="640" t="s">
        <v>333</v>
      </c>
      <c r="E72" s="635" t="s">
        <v>30</v>
      </c>
      <c r="F72" s="219" t="s">
        <v>317</v>
      </c>
      <c r="G72" s="173" t="s">
        <v>234</v>
      </c>
      <c r="H72" s="679">
        <v>5.4</v>
      </c>
      <c r="I72" s="637" t="s">
        <v>31</v>
      </c>
      <c r="J72" s="162">
        <f t="shared" si="1"/>
        <v>3221.23</v>
      </c>
      <c r="K72" s="161">
        <f t="shared" si="26"/>
        <v>3221.23</v>
      </c>
      <c r="L72" s="36"/>
      <c r="M72" s="36"/>
      <c r="N72" s="212">
        <v>3221.23</v>
      </c>
      <c r="O72" s="153">
        <f>N72*1.05</f>
        <v>3382.2915000000003</v>
      </c>
    </row>
    <row r="73" spans="1:15" s="35" customFormat="1" ht="20.100000000000001" customHeight="1" x14ac:dyDescent="0.25">
      <c r="A73" s="24"/>
      <c r="B73" s="638"/>
      <c r="C73" s="390" t="s">
        <v>519</v>
      </c>
      <c r="D73" s="641"/>
      <c r="E73" s="635"/>
      <c r="F73" s="219" t="s">
        <v>319</v>
      </c>
      <c r="G73" s="173" t="s">
        <v>132</v>
      </c>
      <c r="H73" s="680"/>
      <c r="I73" s="638"/>
      <c r="J73" s="162">
        <f t="shared" ref="J73:J74" si="28">K73-K73*$K$3</f>
        <v>3248.73</v>
      </c>
      <c r="K73" s="161">
        <f t="shared" si="26"/>
        <v>3248.73</v>
      </c>
      <c r="L73" s="36"/>
      <c r="M73" s="36"/>
      <c r="N73" s="212">
        <v>3248.73</v>
      </c>
      <c r="O73" s="153">
        <f t="shared" ref="O73:O74" si="29">N73*1.05</f>
        <v>3411.1665000000003</v>
      </c>
    </row>
    <row r="74" spans="1:15" s="35" customFormat="1" ht="20.100000000000001" customHeight="1" x14ac:dyDescent="0.25">
      <c r="A74" s="24"/>
      <c r="B74" s="638"/>
      <c r="C74" s="390" t="s">
        <v>519</v>
      </c>
      <c r="D74" s="641"/>
      <c r="E74" s="635"/>
      <c r="F74" s="219" t="s">
        <v>330</v>
      </c>
      <c r="G74" s="173" t="s">
        <v>235</v>
      </c>
      <c r="H74" s="680"/>
      <c r="I74" s="638"/>
      <c r="J74" s="162">
        <f t="shared" si="28"/>
        <v>4422.6000000000004</v>
      </c>
      <c r="K74" s="161">
        <f t="shared" si="26"/>
        <v>4422.6000000000004</v>
      </c>
      <c r="L74" s="36"/>
      <c r="M74" s="36"/>
      <c r="N74" s="213">
        <v>4422.6000000000004</v>
      </c>
      <c r="O74" s="153">
        <f t="shared" si="29"/>
        <v>4643.7300000000005</v>
      </c>
    </row>
    <row r="75" spans="1:15" s="35" customFormat="1" ht="20.100000000000001" customHeight="1" x14ac:dyDescent="0.25">
      <c r="A75" s="24"/>
      <c r="B75" s="638"/>
      <c r="C75" s="390" t="s">
        <v>519</v>
      </c>
      <c r="D75" s="641"/>
      <c r="E75" s="635"/>
      <c r="F75" s="219" t="s">
        <v>322</v>
      </c>
      <c r="G75" s="173" t="s">
        <v>133</v>
      </c>
      <c r="H75" s="680"/>
      <c r="I75" s="638"/>
      <c r="J75" s="162">
        <f t="shared" si="1"/>
        <v>4422.6000000000004</v>
      </c>
      <c r="K75" s="161">
        <f t="shared" si="26"/>
        <v>4422.6000000000004</v>
      </c>
      <c r="L75" s="36"/>
      <c r="M75" s="36"/>
      <c r="N75" s="218">
        <v>4422.6000000000004</v>
      </c>
      <c r="O75" s="166">
        <f t="shared" si="9"/>
        <v>4643.7300000000005</v>
      </c>
    </row>
    <row r="76" spans="1:15" s="35" customFormat="1" ht="20.100000000000001" customHeight="1" x14ac:dyDescent="0.25">
      <c r="A76" s="24"/>
      <c r="B76" s="638"/>
      <c r="C76" s="390" t="s">
        <v>519</v>
      </c>
      <c r="D76" s="641"/>
      <c r="E76" s="635"/>
      <c r="F76" s="219" t="s">
        <v>324</v>
      </c>
      <c r="G76" s="173" t="s">
        <v>33</v>
      </c>
      <c r="H76" s="680"/>
      <c r="I76" s="638"/>
      <c r="J76" s="162">
        <f t="shared" ref="J76:J79" si="30">K76-K76*$K$3</f>
        <v>4422.6000000000004</v>
      </c>
      <c r="K76" s="161">
        <f t="shared" si="26"/>
        <v>4422.6000000000004</v>
      </c>
      <c r="L76" s="36"/>
      <c r="M76" s="36"/>
      <c r="N76" s="218">
        <v>4422.6000000000004</v>
      </c>
      <c r="O76" s="166">
        <f t="shared" ref="O76:O84" si="31">N76*1.05</f>
        <v>4643.7300000000005</v>
      </c>
    </row>
    <row r="77" spans="1:15" s="35" customFormat="1" ht="20.100000000000001" customHeight="1" x14ac:dyDescent="0.25">
      <c r="A77" s="24"/>
      <c r="B77" s="638"/>
      <c r="C77" s="390" t="s">
        <v>519</v>
      </c>
      <c r="D77" s="641"/>
      <c r="E77" s="635"/>
      <c r="F77" s="219" t="s">
        <v>328</v>
      </c>
      <c r="G77" s="173" t="s">
        <v>34</v>
      </c>
      <c r="H77" s="680"/>
      <c r="I77" s="638"/>
      <c r="J77" s="162">
        <f t="shared" si="30"/>
        <v>4422.6000000000004</v>
      </c>
      <c r="K77" s="161">
        <f t="shared" si="26"/>
        <v>4422.6000000000004</v>
      </c>
      <c r="L77" s="36"/>
      <c r="M77" s="36"/>
      <c r="N77" s="218">
        <v>4422.6000000000004</v>
      </c>
      <c r="O77" s="166">
        <f t="shared" si="31"/>
        <v>4643.7300000000005</v>
      </c>
    </row>
    <row r="78" spans="1:15" s="35" customFormat="1" ht="20.100000000000001" customHeight="1" x14ac:dyDescent="0.25">
      <c r="A78" s="24"/>
      <c r="B78" s="638"/>
      <c r="C78" s="390" t="s">
        <v>519</v>
      </c>
      <c r="D78" s="641"/>
      <c r="E78" s="635"/>
      <c r="F78" s="219" t="s">
        <v>320</v>
      </c>
      <c r="G78" s="173" t="s">
        <v>236</v>
      </c>
      <c r="H78" s="680"/>
      <c r="I78" s="638"/>
      <c r="J78" s="162">
        <f t="shared" si="30"/>
        <v>4422.6000000000004</v>
      </c>
      <c r="K78" s="161">
        <f t="shared" si="26"/>
        <v>4422.6000000000004</v>
      </c>
      <c r="L78" s="36"/>
      <c r="M78" s="36"/>
      <c r="N78" s="218">
        <v>4422.6000000000004</v>
      </c>
      <c r="O78" s="166">
        <f t="shared" si="31"/>
        <v>4643.7300000000005</v>
      </c>
    </row>
    <row r="79" spans="1:15" s="35" customFormat="1" ht="20.100000000000001" customHeight="1" x14ac:dyDescent="0.25">
      <c r="A79" s="24"/>
      <c r="B79" s="638"/>
      <c r="C79" s="390" t="s">
        <v>519</v>
      </c>
      <c r="D79" s="641"/>
      <c r="E79" s="635"/>
      <c r="F79" s="219" t="s">
        <v>326</v>
      </c>
      <c r="G79" s="173" t="s">
        <v>483</v>
      </c>
      <c r="H79" s="680"/>
      <c r="I79" s="638"/>
      <c r="J79" s="162">
        <f t="shared" si="30"/>
        <v>4422.6000000000004</v>
      </c>
      <c r="K79" s="161">
        <f t="shared" si="26"/>
        <v>4422.6000000000004</v>
      </c>
      <c r="L79" s="36"/>
      <c r="M79" s="36"/>
      <c r="N79" s="218">
        <v>4422.6000000000004</v>
      </c>
      <c r="O79" s="166">
        <f t="shared" si="31"/>
        <v>4643.7300000000005</v>
      </c>
    </row>
    <row r="80" spans="1:15" s="35" customFormat="1" ht="20.100000000000001" customHeight="1" x14ac:dyDescent="0.25">
      <c r="A80" s="24"/>
      <c r="B80" s="638"/>
      <c r="C80" s="390" t="s">
        <v>519</v>
      </c>
      <c r="D80" s="641"/>
      <c r="E80" s="385"/>
      <c r="F80" s="219" t="s">
        <v>517</v>
      </c>
      <c r="G80" s="173" t="s">
        <v>481</v>
      </c>
      <c r="H80" s="680"/>
      <c r="I80" s="638"/>
      <c r="J80" s="162">
        <f t="shared" ref="J80:J84" si="32">K80-K80*$K$3</f>
        <v>3264.09</v>
      </c>
      <c r="K80" s="161">
        <f t="shared" si="26"/>
        <v>3264.09</v>
      </c>
      <c r="L80" s="36"/>
      <c r="M80" s="36"/>
      <c r="N80" s="218">
        <v>3264.09</v>
      </c>
      <c r="O80" s="166">
        <f t="shared" si="31"/>
        <v>3427.2945000000004</v>
      </c>
    </row>
    <row r="81" spans="1:15" s="35" customFormat="1" ht="20.100000000000001" customHeight="1" x14ac:dyDescent="0.25">
      <c r="A81" s="24"/>
      <c r="B81" s="638"/>
      <c r="C81" s="390" t="s">
        <v>519</v>
      </c>
      <c r="D81" s="641"/>
      <c r="E81" s="385"/>
      <c r="F81" s="219" t="s">
        <v>509</v>
      </c>
      <c r="G81" s="173" t="s">
        <v>478</v>
      </c>
      <c r="H81" s="680"/>
      <c r="I81" s="638"/>
      <c r="J81" s="162">
        <f t="shared" si="32"/>
        <v>4422.6000000000004</v>
      </c>
      <c r="K81" s="161">
        <f t="shared" si="26"/>
        <v>4422.6000000000004</v>
      </c>
      <c r="L81" s="36"/>
      <c r="M81" s="36"/>
      <c r="N81" s="218">
        <v>4422.6000000000004</v>
      </c>
      <c r="O81" s="166">
        <f t="shared" si="31"/>
        <v>4643.7300000000005</v>
      </c>
    </row>
    <row r="82" spans="1:15" s="35" customFormat="1" ht="20.100000000000001" customHeight="1" x14ac:dyDescent="0.25">
      <c r="A82" s="24"/>
      <c r="B82" s="638"/>
      <c r="C82" s="390" t="s">
        <v>519</v>
      </c>
      <c r="D82" s="641"/>
      <c r="E82" s="385"/>
      <c r="F82" s="219" t="s">
        <v>511</v>
      </c>
      <c r="G82" s="173" t="s">
        <v>482</v>
      </c>
      <c r="H82" s="680"/>
      <c r="I82" s="638"/>
      <c r="J82" s="162">
        <f t="shared" si="32"/>
        <v>4422.6000000000004</v>
      </c>
      <c r="K82" s="161">
        <f t="shared" si="26"/>
        <v>4422.6000000000004</v>
      </c>
      <c r="L82" s="36"/>
      <c r="M82" s="36"/>
      <c r="N82" s="218">
        <v>4422.6000000000004</v>
      </c>
      <c r="O82" s="166">
        <f t="shared" si="31"/>
        <v>4643.7300000000005</v>
      </c>
    </row>
    <row r="83" spans="1:15" s="35" customFormat="1" ht="20.100000000000001" customHeight="1" x14ac:dyDescent="0.25">
      <c r="A83" s="24"/>
      <c r="B83" s="638"/>
      <c r="C83" s="390" t="s">
        <v>519</v>
      </c>
      <c r="D83" s="641"/>
      <c r="E83" s="385"/>
      <c r="F83" s="219" t="s">
        <v>515</v>
      </c>
      <c r="G83" s="173" t="s">
        <v>480</v>
      </c>
      <c r="H83" s="680"/>
      <c r="I83" s="638"/>
      <c r="J83" s="162">
        <f t="shared" si="32"/>
        <v>4422.6000000000004</v>
      </c>
      <c r="K83" s="161">
        <f t="shared" si="26"/>
        <v>4422.6000000000004</v>
      </c>
      <c r="L83" s="36"/>
      <c r="M83" s="36"/>
      <c r="N83" s="218">
        <v>4422.6000000000004</v>
      </c>
      <c r="O83" s="166">
        <f t="shared" si="31"/>
        <v>4643.7300000000005</v>
      </c>
    </row>
    <row r="84" spans="1:15" s="35" customFormat="1" ht="20.100000000000001" customHeight="1" x14ac:dyDescent="0.25">
      <c r="A84" s="24"/>
      <c r="B84" s="639"/>
      <c r="C84" s="390" t="s">
        <v>519</v>
      </c>
      <c r="D84" s="642"/>
      <c r="E84" s="385"/>
      <c r="F84" s="219" t="s">
        <v>513</v>
      </c>
      <c r="G84" s="173" t="s">
        <v>479</v>
      </c>
      <c r="H84" s="681"/>
      <c r="I84" s="639"/>
      <c r="J84" s="162">
        <f t="shared" si="32"/>
        <v>4422.6000000000004</v>
      </c>
      <c r="K84" s="161">
        <f t="shared" si="26"/>
        <v>4422.6000000000004</v>
      </c>
      <c r="L84" s="36"/>
      <c r="M84" s="36"/>
      <c r="N84" s="218">
        <v>4422.6000000000004</v>
      </c>
      <c r="O84" s="166">
        <f t="shared" si="31"/>
        <v>4643.7300000000005</v>
      </c>
    </row>
    <row r="85" spans="1:15" s="35" customFormat="1" ht="30" customHeight="1" x14ac:dyDescent="0.25">
      <c r="A85" s="24"/>
      <c r="B85" s="157"/>
      <c r="C85" s="386" t="s">
        <v>6</v>
      </c>
      <c r="D85" s="159" t="s">
        <v>156</v>
      </c>
      <c r="E85" s="155" t="s">
        <v>36</v>
      </c>
      <c r="F85" s="219" t="s">
        <v>316</v>
      </c>
      <c r="G85" s="173" t="s">
        <v>155</v>
      </c>
      <c r="H85" s="156">
        <v>5.4</v>
      </c>
      <c r="I85" s="157" t="s">
        <v>31</v>
      </c>
      <c r="J85" s="162">
        <f t="shared" si="1"/>
        <v>939.08</v>
      </c>
      <c r="K85" s="161">
        <f t="shared" si="26"/>
        <v>939.08</v>
      </c>
      <c r="L85" s="36"/>
      <c r="M85" s="36"/>
      <c r="N85" s="212">
        <v>939.08</v>
      </c>
      <c r="O85" s="153">
        <f t="shared" si="9"/>
        <v>986.03400000000011</v>
      </c>
    </row>
    <row r="86" spans="1:15" s="35" customFormat="1" ht="20.100000000000001" customHeight="1" x14ac:dyDescent="0.25">
      <c r="A86" s="24"/>
      <c r="B86" s="637"/>
      <c r="C86" s="390" t="s">
        <v>458</v>
      </c>
      <c r="D86" s="640" t="s">
        <v>245</v>
      </c>
      <c r="E86" s="635" t="s">
        <v>36</v>
      </c>
      <c r="F86" s="219" t="s">
        <v>315</v>
      </c>
      <c r="G86" s="173" t="s">
        <v>234</v>
      </c>
      <c r="H86" s="679">
        <v>5.4</v>
      </c>
      <c r="I86" s="637" t="s">
        <v>31</v>
      </c>
      <c r="J86" s="162">
        <f t="shared" si="1"/>
        <v>1975.04</v>
      </c>
      <c r="K86" s="161">
        <f t="shared" si="26"/>
        <v>1975.04</v>
      </c>
      <c r="L86" s="36"/>
      <c r="M86" s="36"/>
      <c r="N86" s="212">
        <v>1975.04</v>
      </c>
      <c r="O86" s="153">
        <f t="shared" si="9"/>
        <v>2073.7919999999999</v>
      </c>
    </row>
    <row r="87" spans="1:15" s="35" customFormat="1" ht="20.100000000000001" customHeight="1" x14ac:dyDescent="0.25">
      <c r="A87" s="24"/>
      <c r="B87" s="638"/>
      <c r="C87" s="390" t="s">
        <v>458</v>
      </c>
      <c r="D87" s="641"/>
      <c r="E87" s="635"/>
      <c r="F87" s="219" t="s">
        <v>318</v>
      </c>
      <c r="G87" s="173" t="s">
        <v>132</v>
      </c>
      <c r="H87" s="680"/>
      <c r="I87" s="638"/>
      <c r="J87" s="162">
        <f t="shared" si="1"/>
        <v>2143.4</v>
      </c>
      <c r="K87" s="161">
        <f t="shared" si="26"/>
        <v>2143.4</v>
      </c>
      <c r="L87" s="36"/>
      <c r="M87" s="36"/>
      <c r="N87" s="212">
        <v>2143.4</v>
      </c>
      <c r="O87" s="153">
        <f t="shared" si="9"/>
        <v>2250.5700000000002</v>
      </c>
    </row>
    <row r="88" spans="1:15" s="35" customFormat="1" ht="20.100000000000001" customHeight="1" x14ac:dyDescent="0.25">
      <c r="A88" s="24"/>
      <c r="B88" s="638"/>
      <c r="C88" s="390" t="s">
        <v>458</v>
      </c>
      <c r="D88" s="641"/>
      <c r="E88" s="635"/>
      <c r="F88" s="219" t="s">
        <v>331</v>
      </c>
      <c r="G88" s="173" t="s">
        <v>235</v>
      </c>
      <c r="H88" s="680"/>
      <c r="I88" s="638"/>
      <c r="J88" s="162">
        <f>K88-K88*$K$3</f>
        <v>2104.13</v>
      </c>
      <c r="K88" s="161">
        <f t="shared" si="26"/>
        <v>2104.13</v>
      </c>
      <c r="L88" s="36"/>
      <c r="M88" s="36"/>
      <c r="N88" s="218">
        <v>2104.13</v>
      </c>
      <c r="O88" s="166">
        <f>N88*1.05</f>
        <v>2209.3365000000003</v>
      </c>
    </row>
    <row r="89" spans="1:15" s="35" customFormat="1" ht="20.100000000000001" customHeight="1" x14ac:dyDescent="0.25">
      <c r="A89" s="24"/>
      <c r="B89" s="638"/>
      <c r="C89" s="390" t="s">
        <v>458</v>
      </c>
      <c r="D89" s="641"/>
      <c r="E89" s="635"/>
      <c r="F89" s="219" t="s">
        <v>323</v>
      </c>
      <c r="G89" s="173" t="s">
        <v>133</v>
      </c>
      <c r="H89" s="680"/>
      <c r="I89" s="638"/>
      <c r="J89" s="162">
        <f t="shared" ref="J89:J93" si="33">K89-K89*$K$3</f>
        <v>2104.13</v>
      </c>
      <c r="K89" s="161">
        <f t="shared" si="26"/>
        <v>2104.13</v>
      </c>
      <c r="L89" s="36"/>
      <c r="M89" s="36"/>
      <c r="N89" s="218">
        <v>2104.13</v>
      </c>
      <c r="O89" s="166">
        <f t="shared" ref="O89:O98" si="34">N89*1.05</f>
        <v>2209.3365000000003</v>
      </c>
    </row>
    <row r="90" spans="1:15" s="35" customFormat="1" ht="20.100000000000001" customHeight="1" x14ac:dyDescent="0.25">
      <c r="A90" s="24"/>
      <c r="B90" s="638"/>
      <c r="C90" s="390" t="s">
        <v>458</v>
      </c>
      <c r="D90" s="641"/>
      <c r="E90" s="635"/>
      <c r="F90" s="219" t="s">
        <v>325</v>
      </c>
      <c r="G90" s="173" t="s">
        <v>33</v>
      </c>
      <c r="H90" s="680"/>
      <c r="I90" s="638"/>
      <c r="J90" s="162">
        <f t="shared" si="33"/>
        <v>2104.13</v>
      </c>
      <c r="K90" s="161">
        <f t="shared" si="26"/>
        <v>2104.13</v>
      </c>
      <c r="L90" s="36"/>
      <c r="M90" s="36"/>
      <c r="N90" s="218">
        <v>2104.13</v>
      </c>
      <c r="O90" s="166">
        <f t="shared" si="34"/>
        <v>2209.3365000000003</v>
      </c>
    </row>
    <row r="91" spans="1:15" s="35" customFormat="1" ht="20.100000000000001" customHeight="1" x14ac:dyDescent="0.25">
      <c r="A91" s="24"/>
      <c r="B91" s="638"/>
      <c r="C91" s="390" t="s">
        <v>458</v>
      </c>
      <c r="D91" s="641"/>
      <c r="E91" s="635"/>
      <c r="F91" s="219" t="s">
        <v>329</v>
      </c>
      <c r="G91" s="173" t="s">
        <v>34</v>
      </c>
      <c r="H91" s="680"/>
      <c r="I91" s="638"/>
      <c r="J91" s="162">
        <f t="shared" si="33"/>
        <v>2104.13</v>
      </c>
      <c r="K91" s="161">
        <f t="shared" si="26"/>
        <v>2104.13</v>
      </c>
      <c r="L91" s="36"/>
      <c r="M91" s="36"/>
      <c r="N91" s="218">
        <v>2104.13</v>
      </c>
      <c r="O91" s="166">
        <f t="shared" si="34"/>
        <v>2209.3365000000003</v>
      </c>
    </row>
    <row r="92" spans="1:15" s="35" customFormat="1" ht="20.100000000000001" customHeight="1" x14ac:dyDescent="0.25">
      <c r="A92" s="24"/>
      <c r="B92" s="638"/>
      <c r="C92" s="390" t="s">
        <v>458</v>
      </c>
      <c r="D92" s="641"/>
      <c r="E92" s="635"/>
      <c r="F92" s="219" t="s">
        <v>321</v>
      </c>
      <c r="G92" s="173" t="s">
        <v>236</v>
      </c>
      <c r="H92" s="680"/>
      <c r="I92" s="638"/>
      <c r="J92" s="162">
        <f t="shared" si="33"/>
        <v>2104.13</v>
      </c>
      <c r="K92" s="161">
        <f t="shared" si="26"/>
        <v>2104.13</v>
      </c>
      <c r="L92" s="36"/>
      <c r="M92" s="36"/>
      <c r="N92" s="218">
        <v>2104.13</v>
      </c>
      <c r="O92" s="166">
        <f t="shared" si="34"/>
        <v>2209.3365000000003</v>
      </c>
    </row>
    <row r="93" spans="1:15" s="35" customFormat="1" ht="20.100000000000001" customHeight="1" x14ac:dyDescent="0.25">
      <c r="A93" s="24"/>
      <c r="B93" s="638"/>
      <c r="C93" s="390" t="s">
        <v>458</v>
      </c>
      <c r="D93" s="641"/>
      <c r="E93" s="635"/>
      <c r="F93" s="219" t="s">
        <v>327</v>
      </c>
      <c r="G93" s="173" t="s">
        <v>483</v>
      </c>
      <c r="H93" s="680"/>
      <c r="I93" s="638"/>
      <c r="J93" s="162">
        <f t="shared" si="33"/>
        <v>2104.13</v>
      </c>
      <c r="K93" s="161">
        <f t="shared" si="26"/>
        <v>2104.13</v>
      </c>
      <c r="L93" s="36"/>
      <c r="M93" s="36"/>
      <c r="N93" s="218">
        <v>2104.13</v>
      </c>
      <c r="O93" s="166">
        <f t="shared" si="34"/>
        <v>2209.3365000000003</v>
      </c>
    </row>
    <row r="94" spans="1:15" s="35" customFormat="1" ht="20.100000000000001" customHeight="1" x14ac:dyDescent="0.25">
      <c r="A94" s="24"/>
      <c r="B94" s="638"/>
      <c r="C94" s="390" t="s">
        <v>458</v>
      </c>
      <c r="D94" s="641"/>
      <c r="E94" s="385"/>
      <c r="F94" s="219" t="s">
        <v>518</v>
      </c>
      <c r="G94" s="173" t="s">
        <v>481</v>
      </c>
      <c r="H94" s="680"/>
      <c r="I94" s="638"/>
      <c r="J94" s="162">
        <f t="shared" ref="J94:J98" si="35">K94-K94*$K$3</f>
        <v>1999.22</v>
      </c>
      <c r="K94" s="161">
        <f t="shared" si="26"/>
        <v>1999.22</v>
      </c>
      <c r="L94" s="36"/>
      <c r="M94" s="36"/>
      <c r="N94" s="218">
        <v>1999.22</v>
      </c>
      <c r="O94" s="166">
        <f t="shared" si="34"/>
        <v>2099.181</v>
      </c>
    </row>
    <row r="95" spans="1:15" s="35" customFormat="1" ht="20.100000000000001" customHeight="1" x14ac:dyDescent="0.25">
      <c r="A95" s="24"/>
      <c r="B95" s="638"/>
      <c r="C95" s="390" t="s">
        <v>458</v>
      </c>
      <c r="D95" s="641"/>
      <c r="E95" s="385"/>
      <c r="F95" s="219" t="s">
        <v>510</v>
      </c>
      <c r="G95" s="173" t="s">
        <v>478</v>
      </c>
      <c r="H95" s="680"/>
      <c r="I95" s="638"/>
      <c r="J95" s="162">
        <f t="shared" si="35"/>
        <v>2104.13</v>
      </c>
      <c r="K95" s="161">
        <f t="shared" si="26"/>
        <v>2104.13</v>
      </c>
      <c r="L95" s="36"/>
      <c r="M95" s="36"/>
      <c r="N95" s="218">
        <v>2104.13</v>
      </c>
      <c r="O95" s="166">
        <f t="shared" si="34"/>
        <v>2209.3365000000003</v>
      </c>
    </row>
    <row r="96" spans="1:15" s="35" customFormat="1" ht="20.100000000000001" customHeight="1" x14ac:dyDescent="0.25">
      <c r="A96" s="24"/>
      <c r="B96" s="638"/>
      <c r="C96" s="390" t="s">
        <v>458</v>
      </c>
      <c r="D96" s="641"/>
      <c r="E96" s="385"/>
      <c r="F96" s="219" t="s">
        <v>512</v>
      </c>
      <c r="G96" s="173" t="s">
        <v>482</v>
      </c>
      <c r="H96" s="680"/>
      <c r="I96" s="638"/>
      <c r="J96" s="162">
        <f t="shared" si="35"/>
        <v>2104.13</v>
      </c>
      <c r="K96" s="161">
        <f t="shared" si="26"/>
        <v>2104.13</v>
      </c>
      <c r="L96" s="36"/>
      <c r="M96" s="36"/>
      <c r="N96" s="218">
        <v>2104.13</v>
      </c>
      <c r="O96" s="166">
        <f t="shared" si="34"/>
        <v>2209.3365000000003</v>
      </c>
    </row>
    <row r="97" spans="1:15" s="35" customFormat="1" ht="20.100000000000001" customHeight="1" x14ac:dyDescent="0.25">
      <c r="A97" s="24"/>
      <c r="B97" s="638"/>
      <c r="C97" s="390" t="s">
        <v>458</v>
      </c>
      <c r="D97" s="641"/>
      <c r="E97" s="385"/>
      <c r="F97" s="219" t="s">
        <v>516</v>
      </c>
      <c r="G97" s="173" t="s">
        <v>480</v>
      </c>
      <c r="H97" s="680"/>
      <c r="I97" s="638"/>
      <c r="J97" s="162">
        <f t="shared" si="35"/>
        <v>2104.13</v>
      </c>
      <c r="K97" s="161">
        <f t="shared" si="26"/>
        <v>2104.13</v>
      </c>
      <c r="L97" s="36"/>
      <c r="M97" s="36"/>
      <c r="N97" s="218">
        <v>2104.13</v>
      </c>
      <c r="O97" s="166">
        <f t="shared" si="34"/>
        <v>2209.3365000000003</v>
      </c>
    </row>
    <row r="98" spans="1:15" s="35" customFormat="1" ht="20.100000000000001" customHeight="1" x14ac:dyDescent="0.25">
      <c r="A98" s="24"/>
      <c r="B98" s="639"/>
      <c r="C98" s="390" t="s">
        <v>458</v>
      </c>
      <c r="D98" s="642"/>
      <c r="E98" s="385"/>
      <c r="F98" s="219" t="s">
        <v>514</v>
      </c>
      <c r="G98" s="173" t="s">
        <v>479</v>
      </c>
      <c r="H98" s="681"/>
      <c r="I98" s="639"/>
      <c r="J98" s="162">
        <f t="shared" si="35"/>
        <v>2104.13</v>
      </c>
      <c r="K98" s="161">
        <f t="shared" si="26"/>
        <v>2104.13</v>
      </c>
      <c r="L98" s="36"/>
      <c r="M98" s="36"/>
      <c r="N98" s="218">
        <v>2104.13</v>
      </c>
      <c r="O98" s="166">
        <f t="shared" si="34"/>
        <v>2209.3365000000003</v>
      </c>
    </row>
    <row r="99" spans="1:15" s="35" customFormat="1" ht="18" customHeight="1" x14ac:dyDescent="0.25">
      <c r="A99" s="24"/>
      <c r="B99" s="227" t="s">
        <v>39</v>
      </c>
      <c r="C99" s="227"/>
      <c r="D99" s="227"/>
      <c r="E99" s="227"/>
      <c r="F99" s="227"/>
      <c r="G99" s="227"/>
      <c r="H99" s="227"/>
      <c r="I99" s="227"/>
      <c r="J99" s="227"/>
      <c r="K99" s="227"/>
      <c r="L99" s="36"/>
      <c r="M99" s="36"/>
      <c r="N99" s="209"/>
      <c r="O99" s="210"/>
    </row>
    <row r="100" spans="1:15" s="35" customFormat="1" ht="20.100000000000001" customHeight="1" x14ac:dyDescent="0.25">
      <c r="A100" s="24"/>
      <c r="B100" s="632"/>
      <c r="C100" s="383"/>
      <c r="D100" s="633" t="s">
        <v>40</v>
      </c>
      <c r="E100" s="634" t="s">
        <v>41</v>
      </c>
      <c r="F100" s="219" t="s">
        <v>343</v>
      </c>
      <c r="G100" s="173" t="s">
        <v>234</v>
      </c>
      <c r="H100" s="643"/>
      <c r="I100" s="647" t="s">
        <v>31</v>
      </c>
      <c r="J100" s="162">
        <f>K100-K100*$K$3</f>
        <v>391.81</v>
      </c>
      <c r="K100" s="161">
        <f t="shared" ref="K100:K130" si="36">IF($K$2=$N$2,N100,O100)</f>
        <v>391.81</v>
      </c>
      <c r="L100" s="36"/>
      <c r="M100" s="36"/>
      <c r="N100" s="225">
        <v>391.81</v>
      </c>
      <c r="O100" s="166">
        <f t="shared" ref="O100:O120" si="37">N100*1.05</f>
        <v>411.40050000000002</v>
      </c>
    </row>
    <row r="101" spans="1:15" s="35" customFormat="1" ht="20.100000000000001" customHeight="1" x14ac:dyDescent="0.25">
      <c r="A101" s="24"/>
      <c r="B101" s="632"/>
      <c r="C101" s="383"/>
      <c r="D101" s="633"/>
      <c r="E101" s="634"/>
      <c r="F101" s="219" t="s">
        <v>398</v>
      </c>
      <c r="G101" s="173" t="s">
        <v>132</v>
      </c>
      <c r="H101" s="643"/>
      <c r="I101" s="647"/>
      <c r="J101" s="162">
        <f t="shared" ref="J101:J102" si="38">K101-K101*$K$3</f>
        <v>391.81</v>
      </c>
      <c r="K101" s="161">
        <f t="shared" si="36"/>
        <v>391.81</v>
      </c>
      <c r="L101" s="36"/>
      <c r="M101" s="36"/>
      <c r="N101" s="225">
        <v>391.81</v>
      </c>
      <c r="O101" s="166">
        <f t="shared" ref="O101:O102" si="39">N101*1.05</f>
        <v>411.40050000000002</v>
      </c>
    </row>
    <row r="102" spans="1:15" s="35" customFormat="1" ht="20.100000000000001" customHeight="1" x14ac:dyDescent="0.25">
      <c r="A102" s="24"/>
      <c r="B102" s="632"/>
      <c r="C102" s="383"/>
      <c r="D102" s="633"/>
      <c r="E102" s="634"/>
      <c r="F102" s="219" t="s">
        <v>388</v>
      </c>
      <c r="G102" s="173" t="s">
        <v>136</v>
      </c>
      <c r="H102" s="643"/>
      <c r="I102" s="647"/>
      <c r="J102" s="162">
        <f t="shared" si="38"/>
        <v>391.81</v>
      </c>
      <c r="K102" s="161">
        <f t="shared" si="36"/>
        <v>391.81</v>
      </c>
      <c r="L102" s="36"/>
      <c r="M102" s="36"/>
      <c r="N102" s="225">
        <v>391.81</v>
      </c>
      <c r="O102" s="166">
        <f t="shared" si="39"/>
        <v>411.40050000000002</v>
      </c>
    </row>
    <row r="103" spans="1:15" s="35" customFormat="1" ht="40.049999999999997" customHeight="1" x14ac:dyDescent="0.25">
      <c r="A103" s="24"/>
      <c r="B103" s="158"/>
      <c r="C103" s="383" t="s">
        <v>42</v>
      </c>
      <c r="D103" s="159" t="s">
        <v>42</v>
      </c>
      <c r="E103" s="155" t="s">
        <v>43</v>
      </c>
      <c r="F103" s="219" t="s">
        <v>344</v>
      </c>
      <c r="G103" s="173" t="s">
        <v>234</v>
      </c>
      <c r="H103" s="167"/>
      <c r="I103" s="168" t="s">
        <v>31</v>
      </c>
      <c r="J103" s="162">
        <f>K103-K103*$K$3</f>
        <v>1921.28</v>
      </c>
      <c r="K103" s="161">
        <f t="shared" si="36"/>
        <v>1921.28</v>
      </c>
      <c r="L103" s="36"/>
      <c r="M103" s="36"/>
      <c r="N103" s="212">
        <v>1921.28</v>
      </c>
      <c r="O103" s="161">
        <f t="shared" si="37"/>
        <v>2017.3440000000001</v>
      </c>
    </row>
    <row r="104" spans="1:15" s="35" customFormat="1" ht="20.100000000000001" customHeight="1" x14ac:dyDescent="0.25">
      <c r="A104" s="24"/>
      <c r="B104" s="632"/>
      <c r="C104" s="383"/>
      <c r="D104" s="633" t="s">
        <v>44</v>
      </c>
      <c r="E104" s="635" t="s">
        <v>45</v>
      </c>
      <c r="F104" s="219" t="s">
        <v>345</v>
      </c>
      <c r="G104" s="173" t="s">
        <v>234</v>
      </c>
      <c r="H104" s="643"/>
      <c r="I104" s="647" t="s">
        <v>46</v>
      </c>
      <c r="J104" s="162">
        <f>K104-K104*$K$3</f>
        <v>81.8</v>
      </c>
      <c r="K104" s="161">
        <f t="shared" si="36"/>
        <v>81.8</v>
      </c>
      <c r="L104" s="36"/>
      <c r="M104" s="36"/>
      <c r="N104" s="225">
        <v>81.8</v>
      </c>
      <c r="O104" s="166">
        <f t="shared" si="37"/>
        <v>85.89</v>
      </c>
    </row>
    <row r="105" spans="1:15" s="35" customFormat="1" ht="20.100000000000001" customHeight="1" x14ac:dyDescent="0.25">
      <c r="A105" s="24"/>
      <c r="B105" s="632"/>
      <c r="C105" s="383"/>
      <c r="D105" s="633"/>
      <c r="E105" s="635"/>
      <c r="F105" s="219" t="s">
        <v>399</v>
      </c>
      <c r="G105" s="173" t="s">
        <v>132</v>
      </c>
      <c r="H105" s="643"/>
      <c r="I105" s="647"/>
      <c r="J105" s="162">
        <f t="shared" ref="J105:J106" si="40">K105-K105*$K$3</f>
        <v>81.8</v>
      </c>
      <c r="K105" s="161">
        <f t="shared" si="36"/>
        <v>81.8</v>
      </c>
      <c r="L105" s="36"/>
      <c r="M105" s="36"/>
      <c r="N105" s="225">
        <v>81.8</v>
      </c>
      <c r="O105" s="166">
        <f t="shared" ref="O105:O106" si="41">N105*1.05</f>
        <v>85.89</v>
      </c>
    </row>
    <row r="106" spans="1:15" s="35" customFormat="1" ht="20.100000000000001" customHeight="1" x14ac:dyDescent="0.25">
      <c r="A106" s="24"/>
      <c r="B106" s="632"/>
      <c r="C106" s="383"/>
      <c r="D106" s="633"/>
      <c r="E106" s="635"/>
      <c r="F106" s="219" t="s">
        <v>389</v>
      </c>
      <c r="G106" s="173" t="s">
        <v>136</v>
      </c>
      <c r="H106" s="643"/>
      <c r="I106" s="647"/>
      <c r="J106" s="162">
        <f t="shared" si="40"/>
        <v>81.8</v>
      </c>
      <c r="K106" s="161">
        <f t="shared" si="36"/>
        <v>81.8</v>
      </c>
      <c r="L106" s="36"/>
      <c r="M106" s="36"/>
      <c r="N106" s="225">
        <v>81.8</v>
      </c>
      <c r="O106" s="166">
        <f t="shared" si="41"/>
        <v>85.89</v>
      </c>
    </row>
    <row r="107" spans="1:15" s="39" customFormat="1" ht="20.100000000000001" customHeight="1" x14ac:dyDescent="0.25">
      <c r="B107" s="644"/>
      <c r="C107" s="384"/>
      <c r="D107" s="633" t="s">
        <v>220</v>
      </c>
      <c r="E107" s="645"/>
      <c r="F107" s="219" t="s">
        <v>381</v>
      </c>
      <c r="G107" s="173" t="s">
        <v>234</v>
      </c>
      <c r="H107" s="646"/>
      <c r="I107" s="645" t="s">
        <v>31</v>
      </c>
      <c r="J107" s="174">
        <f>K107-K107*$K$3</f>
        <v>247.12</v>
      </c>
      <c r="K107" s="161">
        <f t="shared" si="36"/>
        <v>247.12</v>
      </c>
      <c r="L107" s="36"/>
      <c r="M107" s="36"/>
      <c r="N107" s="217">
        <v>247.12</v>
      </c>
      <c r="O107" s="166">
        <f t="shared" si="37"/>
        <v>259.476</v>
      </c>
    </row>
    <row r="108" spans="1:15" s="39" customFormat="1" ht="20.100000000000001" customHeight="1" x14ac:dyDescent="0.25">
      <c r="B108" s="644"/>
      <c r="C108" s="384"/>
      <c r="D108" s="633"/>
      <c r="E108" s="645"/>
      <c r="F108" s="219" t="s">
        <v>380</v>
      </c>
      <c r="G108" s="173" t="s">
        <v>336</v>
      </c>
      <c r="H108" s="646"/>
      <c r="I108" s="645"/>
      <c r="J108" s="174">
        <f t="shared" ref="J108:J110" si="42">K108-K108*$K$3</f>
        <v>247.12</v>
      </c>
      <c r="K108" s="161">
        <f t="shared" si="36"/>
        <v>247.12</v>
      </c>
      <c r="L108" s="36"/>
      <c r="M108" s="36"/>
      <c r="N108" s="217">
        <v>247.12</v>
      </c>
      <c r="O108" s="166">
        <f t="shared" ref="O108:O110" si="43">N108*1.05</f>
        <v>259.476</v>
      </c>
    </row>
    <row r="109" spans="1:15" s="39" customFormat="1" ht="20.100000000000001" customHeight="1" x14ac:dyDescent="0.25">
      <c r="B109" s="644"/>
      <c r="C109" s="384"/>
      <c r="D109" s="633"/>
      <c r="E109" s="645"/>
      <c r="F109" s="219" t="s">
        <v>396</v>
      </c>
      <c r="G109" s="173" t="s">
        <v>335</v>
      </c>
      <c r="H109" s="646"/>
      <c r="I109" s="645"/>
      <c r="J109" s="174">
        <f t="shared" si="42"/>
        <v>247.12</v>
      </c>
      <c r="K109" s="161">
        <f t="shared" si="36"/>
        <v>247.12</v>
      </c>
      <c r="L109" s="36"/>
      <c r="M109" s="36"/>
      <c r="N109" s="217">
        <v>247.12</v>
      </c>
      <c r="O109" s="166">
        <f t="shared" si="43"/>
        <v>259.476</v>
      </c>
    </row>
    <row r="110" spans="1:15" s="39" customFormat="1" ht="20.100000000000001" customHeight="1" x14ac:dyDescent="0.25">
      <c r="B110" s="644"/>
      <c r="C110" s="384"/>
      <c r="D110" s="633"/>
      <c r="E110" s="645"/>
      <c r="F110" s="219" t="s">
        <v>408</v>
      </c>
      <c r="G110" s="173" t="s">
        <v>334</v>
      </c>
      <c r="H110" s="646"/>
      <c r="I110" s="645"/>
      <c r="J110" s="174">
        <f t="shared" si="42"/>
        <v>247.12</v>
      </c>
      <c r="K110" s="161">
        <f t="shared" si="36"/>
        <v>247.12</v>
      </c>
      <c r="L110" s="36"/>
      <c r="M110" s="36"/>
      <c r="N110" s="217">
        <v>247.12</v>
      </c>
      <c r="O110" s="166">
        <f t="shared" si="43"/>
        <v>259.476</v>
      </c>
    </row>
    <row r="111" spans="1:15" s="39" customFormat="1" ht="20.100000000000001" customHeight="1" x14ac:dyDescent="0.25">
      <c r="B111" s="648"/>
      <c r="C111" s="375"/>
      <c r="D111" s="640" t="s">
        <v>138</v>
      </c>
      <c r="E111" s="170" t="s">
        <v>139</v>
      </c>
      <c r="F111" s="219" t="s">
        <v>351</v>
      </c>
      <c r="G111" s="173" t="s">
        <v>234</v>
      </c>
      <c r="H111" s="654"/>
      <c r="I111" s="651" t="s">
        <v>31</v>
      </c>
      <c r="J111" s="162">
        <f>K111-K111*$K$3</f>
        <v>2500.83</v>
      </c>
      <c r="K111" s="161">
        <f t="shared" si="36"/>
        <v>2500.83</v>
      </c>
      <c r="L111" s="36"/>
      <c r="M111" s="36"/>
      <c r="N111" s="212">
        <v>2500.83</v>
      </c>
      <c r="O111" s="153">
        <f t="shared" si="37"/>
        <v>2625.8715000000002</v>
      </c>
    </row>
    <row r="112" spans="1:15" s="39" customFormat="1" ht="20.100000000000001" customHeight="1" x14ac:dyDescent="0.25">
      <c r="B112" s="649"/>
      <c r="C112" s="376"/>
      <c r="D112" s="641"/>
      <c r="E112" s="172"/>
      <c r="F112" s="219" t="s">
        <v>350</v>
      </c>
      <c r="G112" s="173" t="s">
        <v>338</v>
      </c>
      <c r="H112" s="655"/>
      <c r="I112" s="652"/>
      <c r="J112" s="162">
        <f t="shared" ref="J112:J113" si="44">K112-K112*$K$3</f>
        <v>2500.83</v>
      </c>
      <c r="K112" s="161">
        <f t="shared" si="36"/>
        <v>2500.83</v>
      </c>
      <c r="L112" s="36"/>
      <c r="M112" s="36"/>
      <c r="N112" s="212">
        <v>2500.83</v>
      </c>
      <c r="O112" s="161">
        <f t="shared" ref="O112:O113" si="45">N112*1.05</f>
        <v>2625.8715000000002</v>
      </c>
    </row>
    <row r="113" spans="1:15" s="39" customFormat="1" ht="20.100000000000001" customHeight="1" x14ac:dyDescent="0.25">
      <c r="B113" s="650"/>
      <c r="C113" s="377"/>
      <c r="D113" s="642"/>
      <c r="E113" s="172"/>
      <c r="F113" s="219" t="s">
        <v>352</v>
      </c>
      <c r="G113" s="173" t="s">
        <v>337</v>
      </c>
      <c r="H113" s="656"/>
      <c r="I113" s="653"/>
      <c r="J113" s="162">
        <f t="shared" si="44"/>
        <v>2500.83</v>
      </c>
      <c r="K113" s="161">
        <f t="shared" si="36"/>
        <v>2500.83</v>
      </c>
      <c r="L113" s="36"/>
      <c r="M113" s="36"/>
      <c r="N113" s="212">
        <v>2500.83</v>
      </c>
      <c r="O113" s="161">
        <f t="shared" si="45"/>
        <v>2625.8715000000002</v>
      </c>
    </row>
    <row r="114" spans="1:15" s="39" customFormat="1" ht="20.100000000000001" customHeight="1" x14ac:dyDescent="0.25">
      <c r="B114" s="648"/>
      <c r="C114" s="375"/>
      <c r="D114" s="640" t="s">
        <v>140</v>
      </c>
      <c r="E114" s="170" t="s">
        <v>139</v>
      </c>
      <c r="F114" s="219" t="s">
        <v>347</v>
      </c>
      <c r="G114" s="173" t="s">
        <v>234</v>
      </c>
      <c r="H114" s="654"/>
      <c r="I114" s="651" t="s">
        <v>31</v>
      </c>
      <c r="J114" s="162">
        <f>K114-K114*$K$3</f>
        <v>2500.83</v>
      </c>
      <c r="K114" s="161">
        <f t="shared" si="36"/>
        <v>2500.83</v>
      </c>
      <c r="L114" s="36"/>
      <c r="M114" s="36"/>
      <c r="N114" s="212">
        <v>2500.83</v>
      </c>
      <c r="O114" s="153">
        <f t="shared" si="37"/>
        <v>2625.8715000000002</v>
      </c>
    </row>
    <row r="115" spans="1:15" s="39" customFormat="1" ht="20.100000000000001" customHeight="1" x14ac:dyDescent="0.25">
      <c r="B115" s="649"/>
      <c r="C115" s="376"/>
      <c r="D115" s="641"/>
      <c r="E115" s="172"/>
      <c r="F115" s="219" t="s">
        <v>348</v>
      </c>
      <c r="G115" s="173" t="s">
        <v>338</v>
      </c>
      <c r="H115" s="655"/>
      <c r="I115" s="652"/>
      <c r="J115" s="162">
        <f t="shared" ref="J115:J116" si="46">K115-K115*$K$3</f>
        <v>2500.83</v>
      </c>
      <c r="K115" s="161">
        <f t="shared" si="36"/>
        <v>2500.83</v>
      </c>
      <c r="L115" s="36"/>
      <c r="M115" s="36"/>
      <c r="N115" s="212">
        <v>2500.83</v>
      </c>
      <c r="O115" s="161">
        <f t="shared" ref="O115:O116" si="47">N115*1.05</f>
        <v>2625.8715000000002</v>
      </c>
    </row>
    <row r="116" spans="1:15" s="39" customFormat="1" ht="20.100000000000001" customHeight="1" x14ac:dyDescent="0.25">
      <c r="B116" s="650"/>
      <c r="C116" s="377"/>
      <c r="D116" s="642"/>
      <c r="E116" s="172"/>
      <c r="F116" s="219" t="s">
        <v>349</v>
      </c>
      <c r="G116" s="173" t="s">
        <v>337</v>
      </c>
      <c r="H116" s="656"/>
      <c r="I116" s="653"/>
      <c r="J116" s="162">
        <f t="shared" si="46"/>
        <v>2500.83</v>
      </c>
      <c r="K116" s="161">
        <f t="shared" si="36"/>
        <v>2500.83</v>
      </c>
      <c r="L116" s="36"/>
      <c r="M116" s="36"/>
      <c r="N116" s="212">
        <v>2500.83</v>
      </c>
      <c r="O116" s="161">
        <f t="shared" si="47"/>
        <v>2625.8715000000002</v>
      </c>
    </row>
    <row r="117" spans="1:15" s="39" customFormat="1" ht="40.049999999999997" customHeight="1" x14ac:dyDescent="0.25">
      <c r="B117" s="169"/>
      <c r="C117" s="388"/>
      <c r="D117" s="159" t="s">
        <v>256</v>
      </c>
      <c r="E117" s="155" t="s">
        <v>51</v>
      </c>
      <c r="F117" s="219" t="s">
        <v>357</v>
      </c>
      <c r="G117" s="173" t="s">
        <v>234</v>
      </c>
      <c r="H117" s="171"/>
      <c r="I117" s="168" t="s">
        <v>31</v>
      </c>
      <c r="J117" s="162">
        <f>K117-K117*$K$3</f>
        <v>184.85</v>
      </c>
      <c r="K117" s="161">
        <f t="shared" si="36"/>
        <v>184.85</v>
      </c>
      <c r="L117" s="36"/>
      <c r="M117" s="36"/>
      <c r="N117" s="214">
        <v>184.85</v>
      </c>
      <c r="O117" s="153">
        <f t="shared" si="37"/>
        <v>194.0925</v>
      </c>
    </row>
    <row r="118" spans="1:15" s="39" customFormat="1" ht="20.100000000000001" customHeight="1" x14ac:dyDescent="0.25">
      <c r="B118" s="648"/>
      <c r="C118" s="375"/>
      <c r="D118" s="640" t="s">
        <v>177</v>
      </c>
      <c r="E118" s="160"/>
      <c r="F118" s="219" t="s">
        <v>346</v>
      </c>
      <c r="G118" s="173" t="s">
        <v>234</v>
      </c>
      <c r="H118" s="654"/>
      <c r="I118" s="651"/>
      <c r="J118" s="162">
        <f t="shared" ref="J118:J120" si="48">K118-K118*$K$3</f>
        <v>363.54</v>
      </c>
      <c r="K118" s="161">
        <f t="shared" si="36"/>
        <v>363.54</v>
      </c>
      <c r="L118" s="36"/>
      <c r="M118" s="36"/>
      <c r="N118" s="226">
        <v>363.54</v>
      </c>
      <c r="O118" s="161">
        <f t="shared" si="37"/>
        <v>381.71700000000004</v>
      </c>
    </row>
    <row r="119" spans="1:15" s="39" customFormat="1" ht="20.100000000000001" customHeight="1" x14ac:dyDescent="0.25">
      <c r="B119" s="649"/>
      <c r="C119" s="376"/>
      <c r="D119" s="641"/>
      <c r="E119" s="160"/>
      <c r="F119" s="219" t="s">
        <v>402</v>
      </c>
      <c r="G119" s="173" t="s">
        <v>132</v>
      </c>
      <c r="H119" s="655"/>
      <c r="I119" s="652"/>
      <c r="J119" s="162">
        <f t="shared" si="48"/>
        <v>363.54</v>
      </c>
      <c r="K119" s="161">
        <f t="shared" si="36"/>
        <v>363.54</v>
      </c>
      <c r="L119" s="36"/>
      <c r="M119" s="36"/>
      <c r="N119" s="226">
        <v>363.54</v>
      </c>
      <c r="O119" s="161">
        <f t="shared" si="37"/>
        <v>381.71700000000004</v>
      </c>
    </row>
    <row r="120" spans="1:15" s="39" customFormat="1" ht="20.100000000000001" customHeight="1" x14ac:dyDescent="0.25">
      <c r="B120" s="650"/>
      <c r="C120" s="377"/>
      <c r="D120" s="642"/>
      <c r="E120" s="160"/>
      <c r="F120" s="219" t="s">
        <v>401</v>
      </c>
      <c r="G120" s="173" t="s">
        <v>137</v>
      </c>
      <c r="H120" s="656"/>
      <c r="I120" s="653"/>
      <c r="J120" s="162">
        <f t="shared" si="48"/>
        <v>363.54</v>
      </c>
      <c r="K120" s="161">
        <f t="shared" si="36"/>
        <v>363.54</v>
      </c>
      <c r="L120" s="36"/>
      <c r="M120" s="36"/>
      <c r="N120" s="226">
        <v>363.54</v>
      </c>
      <c r="O120" s="161">
        <f t="shared" si="37"/>
        <v>381.71700000000004</v>
      </c>
    </row>
    <row r="121" spans="1:15" s="35" customFormat="1" ht="20.100000000000001" customHeight="1" x14ac:dyDescent="0.25">
      <c r="A121" s="24"/>
      <c r="B121" s="632"/>
      <c r="C121" s="383"/>
      <c r="D121" s="633" t="s">
        <v>52</v>
      </c>
      <c r="E121" s="635" t="s">
        <v>47</v>
      </c>
      <c r="F121" s="219" t="s">
        <v>358</v>
      </c>
      <c r="G121" s="173" t="s">
        <v>234</v>
      </c>
      <c r="H121" s="643"/>
      <c r="I121" s="647" t="s">
        <v>48</v>
      </c>
      <c r="J121" s="162">
        <f>K121-K121*$K$3</f>
        <v>715.73</v>
      </c>
      <c r="K121" s="161">
        <f t="shared" si="36"/>
        <v>715.73</v>
      </c>
      <c r="L121" s="36"/>
      <c r="M121" s="36"/>
      <c r="N121" s="225">
        <v>715.73</v>
      </c>
      <c r="O121" s="166">
        <f t="shared" ref="O121:O161" si="49">N121*1.05</f>
        <v>751.51650000000006</v>
      </c>
    </row>
    <row r="122" spans="1:15" s="35" customFormat="1" ht="20.100000000000001" customHeight="1" x14ac:dyDescent="0.25">
      <c r="A122" s="24"/>
      <c r="B122" s="632"/>
      <c r="C122" s="383"/>
      <c r="D122" s="633"/>
      <c r="E122" s="635"/>
      <c r="F122" s="219" t="s">
        <v>400</v>
      </c>
      <c r="G122" s="173" t="s">
        <v>132</v>
      </c>
      <c r="H122" s="643"/>
      <c r="I122" s="647"/>
      <c r="J122" s="162">
        <f t="shared" ref="J122:J123" si="50">K122-K122*$K$3</f>
        <v>715.73</v>
      </c>
      <c r="K122" s="161">
        <f t="shared" si="36"/>
        <v>715.73</v>
      </c>
      <c r="L122" s="36"/>
      <c r="M122" s="36"/>
      <c r="N122" s="225">
        <v>715.73</v>
      </c>
      <c r="O122" s="166">
        <f t="shared" ref="O122:O123" si="51">N122*1.05</f>
        <v>751.51650000000006</v>
      </c>
    </row>
    <row r="123" spans="1:15" s="35" customFormat="1" ht="20.100000000000001" customHeight="1" x14ac:dyDescent="0.25">
      <c r="A123" s="24"/>
      <c r="B123" s="632"/>
      <c r="C123" s="383"/>
      <c r="D123" s="633"/>
      <c r="E123" s="635"/>
      <c r="F123" s="219" t="s">
        <v>390</v>
      </c>
      <c r="G123" s="173" t="s">
        <v>137</v>
      </c>
      <c r="H123" s="643"/>
      <c r="I123" s="647"/>
      <c r="J123" s="162">
        <f t="shared" si="50"/>
        <v>715.73</v>
      </c>
      <c r="K123" s="161">
        <f t="shared" si="36"/>
        <v>715.73</v>
      </c>
      <c r="L123" s="36"/>
      <c r="M123" s="36"/>
      <c r="N123" s="225">
        <v>715.73</v>
      </c>
      <c r="O123" s="166">
        <f t="shared" si="51"/>
        <v>751.51650000000006</v>
      </c>
    </row>
    <row r="124" spans="1:15" s="35" customFormat="1" ht="20.100000000000001" customHeight="1" x14ac:dyDescent="0.25">
      <c r="A124" s="24"/>
      <c r="B124" s="657"/>
      <c r="C124" s="378"/>
      <c r="D124" s="660" t="s">
        <v>237</v>
      </c>
      <c r="E124" s="139" t="s">
        <v>47</v>
      </c>
      <c r="F124" s="219" t="s">
        <v>355</v>
      </c>
      <c r="G124" s="173" t="s">
        <v>234</v>
      </c>
      <c r="H124" s="666"/>
      <c r="I124" s="663" t="s">
        <v>48</v>
      </c>
      <c r="J124" s="162">
        <f t="shared" ref="J124" si="52">K124-K124*$K$3</f>
        <v>2225.92</v>
      </c>
      <c r="K124" s="161">
        <f t="shared" si="36"/>
        <v>2225.92</v>
      </c>
      <c r="L124" s="36"/>
      <c r="M124" s="36"/>
      <c r="N124" s="213">
        <v>2225.92</v>
      </c>
      <c r="O124" s="153">
        <f t="shared" si="49"/>
        <v>2337.2160000000003</v>
      </c>
    </row>
    <row r="125" spans="1:15" s="35" customFormat="1" ht="20.100000000000001" customHeight="1" x14ac:dyDescent="0.25">
      <c r="A125" s="24"/>
      <c r="B125" s="658"/>
      <c r="C125" s="379"/>
      <c r="D125" s="661"/>
      <c r="E125" s="139"/>
      <c r="F125" s="219" t="s">
        <v>353</v>
      </c>
      <c r="G125" s="173" t="s">
        <v>137</v>
      </c>
      <c r="H125" s="667"/>
      <c r="I125" s="664"/>
      <c r="J125" s="162">
        <f t="shared" ref="J125:J127" si="53">K125-K125*$K$3</f>
        <v>2225.92</v>
      </c>
      <c r="K125" s="161">
        <f t="shared" si="36"/>
        <v>2225.92</v>
      </c>
      <c r="L125" s="36"/>
      <c r="M125" s="36"/>
      <c r="N125" s="213">
        <v>2225.92</v>
      </c>
      <c r="O125" s="161">
        <f t="shared" ref="O125:O127" si="54">N125*1.05</f>
        <v>2337.2160000000003</v>
      </c>
    </row>
    <row r="126" spans="1:15" s="35" customFormat="1" ht="20.100000000000001" customHeight="1" x14ac:dyDescent="0.25">
      <c r="A126" s="24"/>
      <c r="B126" s="658"/>
      <c r="C126" s="379"/>
      <c r="D126" s="661"/>
      <c r="E126" s="139"/>
      <c r="F126" s="219" t="s">
        <v>354</v>
      </c>
      <c r="G126" s="173" t="s">
        <v>336</v>
      </c>
      <c r="H126" s="667"/>
      <c r="I126" s="664"/>
      <c r="J126" s="162">
        <f t="shared" si="53"/>
        <v>2225.92</v>
      </c>
      <c r="K126" s="161">
        <f t="shared" si="36"/>
        <v>2225.92</v>
      </c>
      <c r="L126" s="36"/>
      <c r="M126" s="36"/>
      <c r="N126" s="213">
        <v>2225.92</v>
      </c>
      <c r="O126" s="161">
        <f t="shared" si="54"/>
        <v>2337.2160000000003</v>
      </c>
    </row>
    <row r="127" spans="1:15" s="35" customFormat="1" ht="20.100000000000001" customHeight="1" x14ac:dyDescent="0.25">
      <c r="A127" s="24"/>
      <c r="B127" s="659"/>
      <c r="C127" s="380"/>
      <c r="D127" s="662"/>
      <c r="E127" s="139"/>
      <c r="F127" s="219" t="s">
        <v>356</v>
      </c>
      <c r="G127" s="173" t="s">
        <v>132</v>
      </c>
      <c r="H127" s="668"/>
      <c r="I127" s="665"/>
      <c r="J127" s="162">
        <f t="shared" si="53"/>
        <v>2225.92</v>
      </c>
      <c r="K127" s="161">
        <f t="shared" si="36"/>
        <v>2225.92</v>
      </c>
      <c r="L127" s="36"/>
      <c r="M127" s="36"/>
      <c r="N127" s="213">
        <v>2225.92</v>
      </c>
      <c r="O127" s="161">
        <f t="shared" si="54"/>
        <v>2337.2160000000003</v>
      </c>
    </row>
    <row r="128" spans="1:15" s="35" customFormat="1" ht="40.049999999999997" customHeight="1" x14ac:dyDescent="0.25">
      <c r="A128" s="24"/>
      <c r="B128" s="158"/>
      <c r="C128" s="383" t="s">
        <v>22</v>
      </c>
      <c r="D128" s="159" t="s">
        <v>22</v>
      </c>
      <c r="E128" s="37" t="s">
        <v>53</v>
      </c>
      <c r="F128" s="219" t="s">
        <v>359</v>
      </c>
      <c r="G128" s="173" t="s">
        <v>234</v>
      </c>
      <c r="H128" s="167"/>
      <c r="I128" s="168" t="s">
        <v>48</v>
      </c>
      <c r="J128" s="162">
        <f t="shared" ref="J128:J161" si="55">K128-K128*$K$3</f>
        <v>3834.21</v>
      </c>
      <c r="K128" s="161">
        <f t="shared" si="36"/>
        <v>3834.21</v>
      </c>
      <c r="L128" s="36"/>
      <c r="M128" s="36"/>
      <c r="N128" s="212">
        <v>3834.21</v>
      </c>
      <c r="O128" s="153">
        <f t="shared" si="49"/>
        <v>4025.9205000000002</v>
      </c>
    </row>
    <row r="129" spans="1:15" s="35" customFormat="1" ht="40.049999999999997" customHeight="1" x14ac:dyDescent="0.25">
      <c r="A129" s="24"/>
      <c r="B129" s="158"/>
      <c r="C129" s="383"/>
      <c r="D129" s="159" t="s">
        <v>251</v>
      </c>
      <c r="E129" s="37" t="s">
        <v>53</v>
      </c>
      <c r="F129" s="219" t="s">
        <v>387</v>
      </c>
      <c r="G129" s="173" t="s">
        <v>234</v>
      </c>
      <c r="H129" s="167"/>
      <c r="I129" s="168" t="s">
        <v>48</v>
      </c>
      <c r="J129" s="162">
        <f t="shared" si="55"/>
        <v>3782.12</v>
      </c>
      <c r="K129" s="161">
        <f t="shared" si="36"/>
        <v>3782.12</v>
      </c>
      <c r="L129" s="36"/>
      <c r="M129" s="36"/>
      <c r="N129" s="212">
        <v>3782.12</v>
      </c>
      <c r="O129" s="153">
        <f t="shared" si="49"/>
        <v>3971.2260000000001</v>
      </c>
    </row>
    <row r="130" spans="1:15" s="35" customFormat="1" ht="40.049999999999997" customHeight="1" x14ac:dyDescent="0.3">
      <c r="A130" s="24"/>
      <c r="B130" s="175"/>
      <c r="C130" s="175"/>
      <c r="D130" s="223" t="s">
        <v>255</v>
      </c>
      <c r="E130" s="139" t="s">
        <v>249</v>
      </c>
      <c r="F130" s="219" t="s">
        <v>386</v>
      </c>
      <c r="G130" s="173" t="s">
        <v>234</v>
      </c>
      <c r="H130" s="44"/>
      <c r="I130" s="170" t="s">
        <v>48</v>
      </c>
      <c r="J130" s="45">
        <f t="shared" ref="J130" si="56">K130-K130*$K$3</f>
        <v>1557.33</v>
      </c>
      <c r="K130" s="211">
        <f t="shared" si="36"/>
        <v>1557.33</v>
      </c>
      <c r="L130" s="36"/>
      <c r="M130" s="36"/>
      <c r="N130" s="212">
        <v>1557.33</v>
      </c>
      <c r="O130" s="211">
        <f t="shared" ref="O130" si="57">N130*1.05</f>
        <v>1635.1965</v>
      </c>
    </row>
    <row r="131" spans="1:15" s="35" customFormat="1" ht="39.9" customHeight="1" x14ac:dyDescent="0.25">
      <c r="A131" s="24"/>
      <c r="B131" s="158"/>
      <c r="C131" s="383"/>
      <c r="D131" s="159" t="s">
        <v>54</v>
      </c>
      <c r="E131" s="155" t="s">
        <v>55</v>
      </c>
      <c r="F131" s="219" t="s">
        <v>360</v>
      </c>
      <c r="G131" s="173" t="s">
        <v>234</v>
      </c>
      <c r="H131" s="167"/>
      <c r="I131" s="168" t="s">
        <v>48</v>
      </c>
      <c r="J131" s="162">
        <f t="shared" si="55"/>
        <v>3046.91</v>
      </c>
      <c r="K131" s="161">
        <f t="shared" ref="K131:K162" si="58">IF($K$2=$N$2,N131,O131)</f>
        <v>3046.91</v>
      </c>
      <c r="L131" s="36"/>
      <c r="M131" s="36"/>
      <c r="N131" s="212">
        <v>3046.91</v>
      </c>
      <c r="O131" s="153">
        <f t="shared" si="49"/>
        <v>3199.2554999999998</v>
      </c>
    </row>
    <row r="132" spans="1:15" s="35" customFormat="1" ht="20.100000000000001" customHeight="1" x14ac:dyDescent="0.25">
      <c r="A132" s="24"/>
      <c r="B132" s="632"/>
      <c r="C132" s="383"/>
      <c r="D132" s="633" t="s">
        <v>56</v>
      </c>
      <c r="E132" s="635"/>
      <c r="F132" s="219" t="s">
        <v>361</v>
      </c>
      <c r="G132" s="173" t="s">
        <v>57</v>
      </c>
      <c r="H132" s="643"/>
      <c r="I132" s="647" t="s">
        <v>31</v>
      </c>
      <c r="J132" s="162">
        <f t="shared" si="55"/>
        <v>12.34</v>
      </c>
      <c r="K132" s="161">
        <f t="shared" si="58"/>
        <v>12.34</v>
      </c>
      <c r="L132" s="36"/>
      <c r="M132" s="36"/>
      <c r="N132" s="225">
        <v>12.34</v>
      </c>
      <c r="O132" s="166">
        <f t="shared" si="49"/>
        <v>12.957000000000001</v>
      </c>
    </row>
    <row r="133" spans="1:15" s="35" customFormat="1" ht="20.100000000000001" customHeight="1" x14ac:dyDescent="0.25">
      <c r="A133" s="24"/>
      <c r="B133" s="632"/>
      <c r="C133" s="383"/>
      <c r="D133" s="633"/>
      <c r="E133" s="635"/>
      <c r="F133" s="219" t="s">
        <v>362</v>
      </c>
      <c r="G133" s="173" t="s">
        <v>49</v>
      </c>
      <c r="H133" s="643"/>
      <c r="I133" s="647"/>
      <c r="J133" s="162">
        <f t="shared" ref="J133:J135" si="59">K133-K133*$K$3</f>
        <v>12.34</v>
      </c>
      <c r="K133" s="161">
        <f t="shared" si="58"/>
        <v>12.34</v>
      </c>
      <c r="L133" s="36"/>
      <c r="M133" s="36"/>
      <c r="N133" s="225">
        <v>12.34</v>
      </c>
      <c r="O133" s="166">
        <f t="shared" ref="O133:O135" si="60">N133*1.05</f>
        <v>12.957000000000001</v>
      </c>
    </row>
    <row r="134" spans="1:15" s="35" customFormat="1" ht="20.100000000000001" customHeight="1" x14ac:dyDescent="0.25">
      <c r="A134" s="24"/>
      <c r="B134" s="632"/>
      <c r="C134" s="383"/>
      <c r="D134" s="633"/>
      <c r="E134" s="635"/>
      <c r="F134" s="219" t="s">
        <v>391</v>
      </c>
      <c r="G134" s="173" t="s">
        <v>335</v>
      </c>
      <c r="H134" s="643"/>
      <c r="I134" s="647"/>
      <c r="J134" s="162">
        <f t="shared" ref="J134" si="61">K134-K134*$K$3</f>
        <v>12.34</v>
      </c>
      <c r="K134" s="161">
        <f t="shared" si="58"/>
        <v>12.34</v>
      </c>
      <c r="L134" s="36"/>
      <c r="M134" s="36"/>
      <c r="N134" s="225">
        <v>12.34</v>
      </c>
      <c r="O134" s="166">
        <f t="shared" ref="O134" si="62">N134*1.05</f>
        <v>12.957000000000001</v>
      </c>
    </row>
    <row r="135" spans="1:15" s="35" customFormat="1" ht="20.100000000000001" customHeight="1" x14ac:dyDescent="0.25">
      <c r="A135" s="24"/>
      <c r="B135" s="632"/>
      <c r="C135" s="383"/>
      <c r="D135" s="633"/>
      <c r="E135" s="635"/>
      <c r="F135" s="219" t="s">
        <v>403</v>
      </c>
      <c r="G135" s="173" t="s">
        <v>132</v>
      </c>
      <c r="H135" s="643"/>
      <c r="I135" s="647"/>
      <c r="J135" s="162">
        <f t="shared" si="59"/>
        <v>12.34</v>
      </c>
      <c r="K135" s="161">
        <f t="shared" si="58"/>
        <v>12.34</v>
      </c>
      <c r="L135" s="36"/>
      <c r="M135" s="36"/>
      <c r="N135" s="225">
        <v>12.34</v>
      </c>
      <c r="O135" s="166">
        <f t="shared" si="60"/>
        <v>12.957000000000001</v>
      </c>
    </row>
    <row r="136" spans="1:15" s="35" customFormat="1" ht="40.049999999999997" customHeight="1" x14ac:dyDescent="0.25">
      <c r="A136" s="24"/>
      <c r="B136" s="158"/>
      <c r="C136" s="383"/>
      <c r="D136" s="159" t="s">
        <v>58</v>
      </c>
      <c r="E136" s="155" t="s">
        <v>59</v>
      </c>
      <c r="F136" s="219" t="s">
        <v>363</v>
      </c>
      <c r="G136" s="173" t="s">
        <v>234</v>
      </c>
      <c r="H136" s="167"/>
      <c r="I136" s="168" t="s">
        <v>31</v>
      </c>
      <c r="J136" s="174">
        <f t="shared" si="55"/>
        <v>628.48</v>
      </c>
      <c r="K136" s="161">
        <f t="shared" si="58"/>
        <v>628.48</v>
      </c>
      <c r="L136" s="36"/>
      <c r="M136" s="36"/>
      <c r="N136" s="214">
        <v>628.48</v>
      </c>
      <c r="O136" s="153">
        <f t="shared" si="49"/>
        <v>659.904</v>
      </c>
    </row>
    <row r="137" spans="1:15" s="35" customFormat="1" ht="20.100000000000001" customHeight="1" x14ac:dyDescent="0.25">
      <c r="A137" s="24"/>
      <c r="B137" s="632"/>
      <c r="C137" s="383"/>
      <c r="D137" s="633" t="s">
        <v>141</v>
      </c>
      <c r="E137" s="635" t="s">
        <v>59</v>
      </c>
      <c r="F137" s="219" t="s">
        <v>364</v>
      </c>
      <c r="G137" s="173" t="s">
        <v>234</v>
      </c>
      <c r="H137" s="643"/>
      <c r="I137" s="647" t="s">
        <v>31</v>
      </c>
      <c r="J137" s="162">
        <f t="shared" si="55"/>
        <v>427.8</v>
      </c>
      <c r="K137" s="161">
        <f t="shared" si="58"/>
        <v>427.8</v>
      </c>
      <c r="L137" s="36"/>
      <c r="M137" s="36"/>
      <c r="N137" s="225">
        <v>427.8</v>
      </c>
      <c r="O137" s="166">
        <f t="shared" si="49"/>
        <v>449.19000000000005</v>
      </c>
    </row>
    <row r="138" spans="1:15" s="35" customFormat="1" ht="20.100000000000001" customHeight="1" x14ac:dyDescent="0.25">
      <c r="A138" s="24"/>
      <c r="B138" s="632"/>
      <c r="C138" s="383"/>
      <c r="D138" s="633"/>
      <c r="E138" s="635"/>
      <c r="F138" s="219" t="s">
        <v>404</v>
      </c>
      <c r="G138" s="173" t="s">
        <v>132</v>
      </c>
      <c r="H138" s="643"/>
      <c r="I138" s="647"/>
      <c r="J138" s="162">
        <f t="shared" ref="J138:J142" si="63">K138-K138*$K$3</f>
        <v>427.8</v>
      </c>
      <c r="K138" s="161">
        <f t="shared" si="58"/>
        <v>427.8</v>
      </c>
      <c r="L138" s="36"/>
      <c r="M138" s="36"/>
      <c r="N138" s="225">
        <v>427.8</v>
      </c>
      <c r="O138" s="166">
        <f t="shared" ref="O138:O142" si="64">N138*1.05</f>
        <v>449.19000000000005</v>
      </c>
    </row>
    <row r="139" spans="1:15" s="35" customFormat="1" ht="20.100000000000001" customHeight="1" x14ac:dyDescent="0.25">
      <c r="A139" s="24"/>
      <c r="B139" s="632"/>
      <c r="C139" s="383"/>
      <c r="D139" s="633"/>
      <c r="E139" s="635"/>
      <c r="F139" s="219" t="s">
        <v>392</v>
      </c>
      <c r="G139" s="173" t="s">
        <v>137</v>
      </c>
      <c r="H139" s="643"/>
      <c r="I139" s="647"/>
      <c r="J139" s="162">
        <f t="shared" si="63"/>
        <v>427.8</v>
      </c>
      <c r="K139" s="161">
        <f t="shared" si="58"/>
        <v>427.8</v>
      </c>
      <c r="L139" s="36"/>
      <c r="M139" s="36"/>
      <c r="N139" s="225">
        <v>427.8</v>
      </c>
      <c r="O139" s="166">
        <f t="shared" si="64"/>
        <v>449.19000000000005</v>
      </c>
    </row>
    <row r="140" spans="1:15" s="35" customFormat="1" ht="20.100000000000001" customHeight="1" x14ac:dyDescent="0.25">
      <c r="A140" s="24"/>
      <c r="B140" s="632"/>
      <c r="C140" s="383"/>
      <c r="D140" s="633" t="s">
        <v>142</v>
      </c>
      <c r="E140" s="635"/>
      <c r="F140" s="219" t="s">
        <v>365</v>
      </c>
      <c r="G140" s="173" t="s">
        <v>234</v>
      </c>
      <c r="H140" s="643"/>
      <c r="I140" s="647"/>
      <c r="J140" s="162">
        <f t="shared" si="63"/>
        <v>427.8</v>
      </c>
      <c r="K140" s="161">
        <f t="shared" si="58"/>
        <v>427.8</v>
      </c>
      <c r="L140" s="36"/>
      <c r="M140" s="36"/>
      <c r="N140" s="225">
        <v>427.8</v>
      </c>
      <c r="O140" s="166">
        <f t="shared" si="64"/>
        <v>449.19000000000005</v>
      </c>
    </row>
    <row r="141" spans="1:15" s="35" customFormat="1" ht="20.100000000000001" customHeight="1" x14ac:dyDescent="0.25">
      <c r="A141" s="24"/>
      <c r="B141" s="632"/>
      <c r="C141" s="383"/>
      <c r="D141" s="633"/>
      <c r="E141" s="635"/>
      <c r="F141" s="219" t="s">
        <v>405</v>
      </c>
      <c r="G141" s="173" t="s">
        <v>132</v>
      </c>
      <c r="H141" s="643"/>
      <c r="I141" s="647"/>
      <c r="J141" s="162">
        <f t="shared" si="63"/>
        <v>427.8</v>
      </c>
      <c r="K141" s="161">
        <f t="shared" si="58"/>
        <v>427.8</v>
      </c>
      <c r="L141" s="36"/>
      <c r="M141" s="36"/>
      <c r="N141" s="225">
        <v>427.8</v>
      </c>
      <c r="O141" s="166">
        <f t="shared" si="64"/>
        <v>449.19000000000005</v>
      </c>
    </row>
    <row r="142" spans="1:15" s="35" customFormat="1" ht="20.100000000000001" customHeight="1" x14ac:dyDescent="0.25">
      <c r="A142" s="24"/>
      <c r="B142" s="632"/>
      <c r="C142" s="383"/>
      <c r="D142" s="633"/>
      <c r="E142" s="635"/>
      <c r="F142" s="219" t="s">
        <v>393</v>
      </c>
      <c r="G142" s="173" t="s">
        <v>137</v>
      </c>
      <c r="H142" s="643"/>
      <c r="I142" s="647"/>
      <c r="J142" s="162">
        <f t="shared" si="63"/>
        <v>427.8</v>
      </c>
      <c r="K142" s="161">
        <f t="shared" si="58"/>
        <v>427.8</v>
      </c>
      <c r="L142" s="36"/>
      <c r="M142" s="36"/>
      <c r="N142" s="225">
        <v>427.8</v>
      </c>
      <c r="O142" s="166">
        <f t="shared" si="64"/>
        <v>449.19000000000005</v>
      </c>
    </row>
    <row r="143" spans="1:15" s="35" customFormat="1" ht="20.100000000000001" customHeight="1" x14ac:dyDescent="0.25">
      <c r="A143" s="24"/>
      <c r="B143" s="632"/>
      <c r="C143" s="383"/>
      <c r="D143" s="633" t="s">
        <v>60</v>
      </c>
      <c r="E143" s="635" t="s">
        <v>59</v>
      </c>
      <c r="F143" s="219" t="s">
        <v>366</v>
      </c>
      <c r="G143" s="173" t="s">
        <v>234</v>
      </c>
      <c r="H143" s="643"/>
      <c r="I143" s="647" t="s">
        <v>31</v>
      </c>
      <c r="J143" s="162">
        <f t="shared" si="55"/>
        <v>496.47</v>
      </c>
      <c r="K143" s="161">
        <f t="shared" si="58"/>
        <v>496.47</v>
      </c>
      <c r="L143" s="36"/>
      <c r="M143" s="36"/>
      <c r="N143" s="225">
        <v>496.47</v>
      </c>
      <c r="O143" s="166">
        <f t="shared" si="49"/>
        <v>521.29349999999999</v>
      </c>
    </row>
    <row r="144" spans="1:15" s="35" customFormat="1" ht="20.100000000000001" customHeight="1" x14ac:dyDescent="0.25">
      <c r="A144" s="24"/>
      <c r="B144" s="632"/>
      <c r="C144" s="383"/>
      <c r="D144" s="633"/>
      <c r="E144" s="635"/>
      <c r="F144" s="219" t="s">
        <v>406</v>
      </c>
      <c r="G144" s="173" t="s">
        <v>132</v>
      </c>
      <c r="H144" s="643"/>
      <c r="I144" s="647"/>
      <c r="J144" s="162">
        <f t="shared" ref="J144:J145" si="65">K144-K144*$K$3</f>
        <v>496.47</v>
      </c>
      <c r="K144" s="161">
        <f t="shared" si="58"/>
        <v>496.47</v>
      </c>
      <c r="L144" s="36"/>
      <c r="M144" s="36"/>
      <c r="N144" s="225">
        <v>496.47</v>
      </c>
      <c r="O144" s="166">
        <f t="shared" ref="O144:O145" si="66">N144*1.05</f>
        <v>521.29349999999999</v>
      </c>
    </row>
    <row r="145" spans="1:15" s="35" customFormat="1" ht="20.100000000000001" customHeight="1" x14ac:dyDescent="0.25">
      <c r="A145" s="24"/>
      <c r="B145" s="632"/>
      <c r="C145" s="383"/>
      <c r="D145" s="633"/>
      <c r="E145" s="635"/>
      <c r="F145" s="219" t="s">
        <v>394</v>
      </c>
      <c r="G145" s="173" t="s">
        <v>137</v>
      </c>
      <c r="H145" s="643"/>
      <c r="I145" s="647"/>
      <c r="J145" s="162">
        <f t="shared" si="65"/>
        <v>496.47</v>
      </c>
      <c r="K145" s="161">
        <f t="shared" si="58"/>
        <v>496.47</v>
      </c>
      <c r="L145" s="36"/>
      <c r="M145" s="36"/>
      <c r="N145" s="225">
        <v>496.47</v>
      </c>
      <c r="O145" s="166">
        <f t="shared" si="66"/>
        <v>521.29349999999999</v>
      </c>
    </row>
    <row r="146" spans="1:15" s="35" customFormat="1" ht="40.049999999999997" customHeight="1" x14ac:dyDescent="0.25">
      <c r="A146" s="40"/>
      <c r="B146" s="176"/>
      <c r="C146" s="384"/>
      <c r="D146" s="159" t="s">
        <v>61</v>
      </c>
      <c r="E146" s="170" t="s">
        <v>41</v>
      </c>
      <c r="F146" s="219" t="s">
        <v>367</v>
      </c>
      <c r="G146" s="173" t="s">
        <v>234</v>
      </c>
      <c r="H146" s="177"/>
      <c r="I146" s="170" t="s">
        <v>31</v>
      </c>
      <c r="J146" s="162">
        <f t="shared" si="55"/>
        <v>46.21</v>
      </c>
      <c r="K146" s="161">
        <f t="shared" si="58"/>
        <v>46.21</v>
      </c>
      <c r="L146" s="36"/>
      <c r="M146" s="36"/>
      <c r="N146" s="215">
        <v>46.21</v>
      </c>
      <c r="O146" s="153">
        <f t="shared" si="49"/>
        <v>48.520500000000006</v>
      </c>
    </row>
    <row r="147" spans="1:15" s="35" customFormat="1" ht="40.049999999999997" customHeight="1" x14ac:dyDescent="0.25">
      <c r="A147" s="24"/>
      <c r="B147" s="158"/>
      <c r="C147" s="383"/>
      <c r="D147" s="159" t="s">
        <v>62</v>
      </c>
      <c r="E147" s="155" t="s">
        <v>41</v>
      </c>
      <c r="F147" s="219" t="s">
        <v>368</v>
      </c>
      <c r="G147" s="173" t="s">
        <v>234</v>
      </c>
      <c r="H147" s="167"/>
      <c r="I147" s="168" t="s">
        <v>31</v>
      </c>
      <c r="J147" s="162">
        <f t="shared" si="55"/>
        <v>53.16</v>
      </c>
      <c r="K147" s="161">
        <f t="shared" si="58"/>
        <v>53.16</v>
      </c>
      <c r="L147" s="36"/>
      <c r="M147" s="36"/>
      <c r="N147" s="214">
        <v>53.16</v>
      </c>
      <c r="O147" s="153">
        <f t="shared" si="49"/>
        <v>55.817999999999998</v>
      </c>
    </row>
    <row r="148" spans="1:15" s="35" customFormat="1" ht="40.049999999999997" customHeight="1" x14ac:dyDescent="0.25">
      <c r="A148" s="40"/>
      <c r="B148" s="176"/>
      <c r="C148" s="384"/>
      <c r="D148" s="159" t="s">
        <v>63</v>
      </c>
      <c r="E148" s="170" t="s">
        <v>41</v>
      </c>
      <c r="F148" s="219" t="s">
        <v>369</v>
      </c>
      <c r="G148" s="173" t="s">
        <v>234</v>
      </c>
      <c r="H148" s="177"/>
      <c r="I148" s="170" t="s">
        <v>31</v>
      </c>
      <c r="J148" s="162">
        <f t="shared" si="55"/>
        <v>273.48</v>
      </c>
      <c r="K148" s="161">
        <f t="shared" si="58"/>
        <v>273.48</v>
      </c>
      <c r="L148" s="36"/>
      <c r="M148" s="36"/>
      <c r="N148" s="214">
        <v>273.48</v>
      </c>
      <c r="O148" s="153">
        <f t="shared" si="49"/>
        <v>287.15400000000005</v>
      </c>
    </row>
    <row r="149" spans="1:15" s="35" customFormat="1" ht="40.049999999999997" customHeight="1" x14ac:dyDescent="0.25">
      <c r="A149" s="40" t="s">
        <v>64</v>
      </c>
      <c r="B149" s="176"/>
      <c r="C149" s="173" t="s">
        <v>160</v>
      </c>
      <c r="D149" s="159" t="s">
        <v>65</v>
      </c>
      <c r="E149" s="170" t="s">
        <v>53</v>
      </c>
      <c r="F149" s="219" t="s">
        <v>372</v>
      </c>
      <c r="G149" s="173" t="s">
        <v>234</v>
      </c>
      <c r="H149" s="177"/>
      <c r="I149" s="170" t="s">
        <v>48</v>
      </c>
      <c r="J149" s="162">
        <f t="shared" si="55"/>
        <v>2888.45</v>
      </c>
      <c r="K149" s="161">
        <f t="shared" si="58"/>
        <v>2888.45</v>
      </c>
      <c r="L149" s="36"/>
      <c r="M149" s="36"/>
      <c r="N149" s="212">
        <v>2888.45</v>
      </c>
      <c r="O149" s="153">
        <f t="shared" si="49"/>
        <v>3032.8724999999999</v>
      </c>
    </row>
    <row r="150" spans="1:15" s="35" customFormat="1" ht="40.049999999999997" customHeight="1" x14ac:dyDescent="0.25">
      <c r="A150" s="24"/>
      <c r="B150" s="158"/>
      <c r="C150" s="383"/>
      <c r="D150" s="159" t="s">
        <v>66</v>
      </c>
      <c r="E150" s="155" t="s">
        <v>59</v>
      </c>
      <c r="F150" s="219" t="s">
        <v>370</v>
      </c>
      <c r="G150" s="173" t="s">
        <v>234</v>
      </c>
      <c r="H150" s="167"/>
      <c r="I150" s="168" t="s">
        <v>31</v>
      </c>
      <c r="J150" s="162">
        <f t="shared" si="55"/>
        <v>656.66</v>
      </c>
      <c r="K150" s="161">
        <f t="shared" si="58"/>
        <v>656.66</v>
      </c>
      <c r="L150" s="36"/>
      <c r="M150" s="36"/>
      <c r="N150" s="214">
        <v>656.66</v>
      </c>
      <c r="O150" s="153">
        <f t="shared" si="49"/>
        <v>689.49300000000005</v>
      </c>
    </row>
    <row r="151" spans="1:15" s="35" customFormat="1" ht="40.049999999999997" customHeight="1" x14ac:dyDescent="0.25">
      <c r="A151" s="40"/>
      <c r="B151" s="176"/>
      <c r="C151" s="384" t="s">
        <v>67</v>
      </c>
      <c r="D151" s="159" t="s">
        <v>67</v>
      </c>
      <c r="E151" s="170" t="s">
        <v>45</v>
      </c>
      <c r="F151" s="219" t="s">
        <v>371</v>
      </c>
      <c r="G151" s="173" t="s">
        <v>234</v>
      </c>
      <c r="H151" s="37"/>
      <c r="I151" s="170" t="s">
        <v>48</v>
      </c>
      <c r="J151" s="162">
        <f t="shared" si="55"/>
        <v>166.14</v>
      </c>
      <c r="K151" s="161">
        <f t="shared" si="58"/>
        <v>166.14</v>
      </c>
      <c r="L151" s="36"/>
      <c r="M151" s="36"/>
      <c r="N151" s="214">
        <v>166.14</v>
      </c>
      <c r="O151" s="153">
        <f t="shared" si="49"/>
        <v>174.447</v>
      </c>
    </row>
    <row r="152" spans="1:15" s="35" customFormat="1" ht="20.100000000000001" customHeight="1" x14ac:dyDescent="0.25">
      <c r="A152" s="24"/>
      <c r="B152" s="632"/>
      <c r="C152" s="383"/>
      <c r="D152" s="633" t="s">
        <v>68</v>
      </c>
      <c r="E152" s="635" t="s">
        <v>36</v>
      </c>
      <c r="F152" s="172" t="s">
        <v>373</v>
      </c>
      <c r="G152" s="173" t="s">
        <v>234</v>
      </c>
      <c r="H152" s="643"/>
      <c r="I152" s="647" t="s">
        <v>31</v>
      </c>
      <c r="J152" s="162">
        <f t="shared" si="55"/>
        <v>659.85</v>
      </c>
      <c r="K152" s="161">
        <f t="shared" si="58"/>
        <v>659.85</v>
      </c>
      <c r="L152" s="36"/>
      <c r="M152" s="36"/>
      <c r="N152" s="225">
        <v>659.85</v>
      </c>
      <c r="O152" s="166">
        <f t="shared" si="49"/>
        <v>692.84250000000009</v>
      </c>
    </row>
    <row r="153" spans="1:15" s="35" customFormat="1" ht="20.100000000000001" customHeight="1" x14ac:dyDescent="0.25">
      <c r="A153" s="24"/>
      <c r="B153" s="632"/>
      <c r="C153" s="383"/>
      <c r="D153" s="633"/>
      <c r="E153" s="635"/>
      <c r="F153" s="219" t="s">
        <v>407</v>
      </c>
      <c r="G153" s="173" t="s">
        <v>132</v>
      </c>
      <c r="H153" s="643"/>
      <c r="I153" s="647"/>
      <c r="J153" s="162">
        <f t="shared" ref="J153:J154" si="67">K153-K153*$K$3</f>
        <v>659.85</v>
      </c>
      <c r="K153" s="161">
        <f t="shared" si="58"/>
        <v>659.85</v>
      </c>
      <c r="L153" s="36"/>
      <c r="M153" s="36"/>
      <c r="N153" s="225">
        <v>659.85</v>
      </c>
      <c r="O153" s="166">
        <f t="shared" ref="O153:O154" si="68">N153*1.05</f>
        <v>692.84250000000009</v>
      </c>
    </row>
    <row r="154" spans="1:15" s="35" customFormat="1" ht="20.100000000000001" customHeight="1" x14ac:dyDescent="0.25">
      <c r="A154" s="24"/>
      <c r="B154" s="632"/>
      <c r="C154" s="383"/>
      <c r="D154" s="633"/>
      <c r="E154" s="635"/>
      <c r="F154" s="219" t="s">
        <v>395</v>
      </c>
      <c r="G154" s="173" t="s">
        <v>137</v>
      </c>
      <c r="H154" s="643"/>
      <c r="I154" s="647"/>
      <c r="J154" s="162">
        <f t="shared" si="67"/>
        <v>659.85</v>
      </c>
      <c r="K154" s="161">
        <f t="shared" si="58"/>
        <v>659.85</v>
      </c>
      <c r="L154" s="36"/>
      <c r="M154" s="36"/>
      <c r="N154" s="225">
        <v>659.85</v>
      </c>
      <c r="O154" s="166">
        <f t="shared" si="68"/>
        <v>692.84250000000009</v>
      </c>
    </row>
    <row r="155" spans="1:15" s="35" customFormat="1" ht="40.049999999999997" customHeight="1" x14ac:dyDescent="0.25">
      <c r="A155" s="24"/>
      <c r="B155" s="158"/>
      <c r="C155" s="383"/>
      <c r="D155" s="159" t="s">
        <v>69</v>
      </c>
      <c r="E155" s="155" t="s">
        <v>70</v>
      </c>
      <c r="F155" s="219" t="s">
        <v>374</v>
      </c>
      <c r="G155" s="173" t="s">
        <v>234</v>
      </c>
      <c r="H155" s="167"/>
      <c r="I155" s="168" t="s">
        <v>31</v>
      </c>
      <c r="J155" s="162">
        <f t="shared" si="55"/>
        <v>7.31</v>
      </c>
      <c r="K155" s="161">
        <f t="shared" si="58"/>
        <v>7.31</v>
      </c>
      <c r="L155" s="36"/>
      <c r="M155" s="36"/>
      <c r="N155" s="214">
        <v>7.31</v>
      </c>
      <c r="O155" s="153">
        <f t="shared" si="49"/>
        <v>7.6754999999999995</v>
      </c>
    </row>
    <row r="156" spans="1:15" s="42" customFormat="1" ht="40.049999999999997" customHeight="1" x14ac:dyDescent="0.25">
      <c r="A156" s="41"/>
      <c r="B156" s="178"/>
      <c r="C156" s="178"/>
      <c r="D156" s="159" t="s">
        <v>71</v>
      </c>
      <c r="E156" s="170" t="s">
        <v>72</v>
      </c>
      <c r="F156" s="219" t="s">
        <v>377</v>
      </c>
      <c r="G156" s="173" t="s">
        <v>234</v>
      </c>
      <c r="H156" s="167"/>
      <c r="I156" s="168" t="s">
        <v>48</v>
      </c>
      <c r="J156" s="162">
        <f t="shared" si="55"/>
        <v>207.06</v>
      </c>
      <c r="K156" s="161">
        <f t="shared" si="58"/>
        <v>207.06</v>
      </c>
      <c r="L156" s="36"/>
      <c r="M156" s="36"/>
      <c r="N156" s="214">
        <v>207.06</v>
      </c>
      <c r="O156" s="153">
        <f t="shared" si="49"/>
        <v>217.41300000000001</v>
      </c>
    </row>
    <row r="157" spans="1:15" s="35" customFormat="1" ht="40.049999999999997" customHeight="1" x14ac:dyDescent="0.25">
      <c r="A157" s="24"/>
      <c r="B157" s="158"/>
      <c r="C157" s="383" t="s">
        <v>73</v>
      </c>
      <c r="D157" s="159" t="s">
        <v>73</v>
      </c>
      <c r="E157" s="170" t="s">
        <v>143</v>
      </c>
      <c r="F157" s="219" t="s">
        <v>379</v>
      </c>
      <c r="G157" s="173"/>
      <c r="H157" s="167"/>
      <c r="I157" s="168" t="s">
        <v>48</v>
      </c>
      <c r="J157" s="162">
        <f t="shared" si="55"/>
        <v>519.9</v>
      </c>
      <c r="K157" s="161">
        <f t="shared" si="58"/>
        <v>519.9</v>
      </c>
      <c r="L157" s="36"/>
      <c r="M157" s="36"/>
      <c r="N157" s="214">
        <v>519.9</v>
      </c>
      <c r="O157" s="153">
        <f t="shared" si="49"/>
        <v>545.89499999999998</v>
      </c>
    </row>
    <row r="158" spans="1:15" s="35" customFormat="1" ht="40.049999999999997" customHeight="1" x14ac:dyDescent="0.25">
      <c r="A158" s="24"/>
      <c r="B158" s="158"/>
      <c r="C158" s="383" t="s">
        <v>74</v>
      </c>
      <c r="D158" s="159" t="s">
        <v>74</v>
      </c>
      <c r="E158" s="170" t="s">
        <v>75</v>
      </c>
      <c r="F158" s="219" t="s">
        <v>378</v>
      </c>
      <c r="G158" s="173" t="s">
        <v>234</v>
      </c>
      <c r="H158" s="167"/>
      <c r="I158" s="168" t="s">
        <v>31</v>
      </c>
      <c r="J158" s="162">
        <f t="shared" si="55"/>
        <v>117.37</v>
      </c>
      <c r="K158" s="161">
        <f t="shared" si="58"/>
        <v>117.37</v>
      </c>
      <c r="L158" s="36"/>
      <c r="M158" s="36"/>
      <c r="N158" s="214">
        <v>117.37</v>
      </c>
      <c r="O158" s="153">
        <f t="shared" si="49"/>
        <v>123.23850000000002</v>
      </c>
    </row>
    <row r="159" spans="1:15" s="34" customFormat="1" ht="40.049999999999997" customHeight="1" x14ac:dyDescent="0.25">
      <c r="A159" s="164"/>
      <c r="B159" s="179"/>
      <c r="C159" s="179"/>
      <c r="D159" s="159" t="s">
        <v>144</v>
      </c>
      <c r="E159" s="155" t="s">
        <v>36</v>
      </c>
      <c r="F159" s="219" t="s">
        <v>376</v>
      </c>
      <c r="G159" s="173" t="s">
        <v>234</v>
      </c>
      <c r="H159" s="43"/>
      <c r="I159" s="158" t="s">
        <v>31</v>
      </c>
      <c r="J159" s="162">
        <f t="shared" si="55"/>
        <v>123.26</v>
      </c>
      <c r="K159" s="161">
        <f t="shared" si="58"/>
        <v>123.26</v>
      </c>
      <c r="L159" s="36"/>
      <c r="M159" s="36"/>
      <c r="N159" s="214">
        <v>123.26</v>
      </c>
      <c r="O159" s="153">
        <f t="shared" si="49"/>
        <v>129.423</v>
      </c>
    </row>
    <row r="160" spans="1:15" s="34" customFormat="1" ht="40.049999999999997" customHeight="1" x14ac:dyDescent="0.25">
      <c r="A160" s="164"/>
      <c r="B160" s="179"/>
      <c r="C160" s="179"/>
      <c r="D160" s="159" t="s">
        <v>145</v>
      </c>
      <c r="E160" s="155" t="s">
        <v>36</v>
      </c>
      <c r="F160" s="219" t="s">
        <v>375</v>
      </c>
      <c r="G160" s="173" t="s">
        <v>234</v>
      </c>
      <c r="H160" s="43"/>
      <c r="I160" s="158" t="s">
        <v>31</v>
      </c>
      <c r="J160" s="162">
        <f t="shared" si="55"/>
        <v>92.43</v>
      </c>
      <c r="K160" s="161">
        <f t="shared" si="58"/>
        <v>92.43</v>
      </c>
      <c r="L160" s="36"/>
      <c r="M160" s="36"/>
      <c r="N160" s="214">
        <v>92.43</v>
      </c>
      <c r="O160" s="153">
        <f t="shared" si="49"/>
        <v>97.051500000000004</v>
      </c>
    </row>
    <row r="161" spans="1:15" s="35" customFormat="1" ht="21.15" customHeight="1" x14ac:dyDescent="0.25">
      <c r="A161" s="24"/>
      <c r="B161" s="669"/>
      <c r="C161" s="372"/>
      <c r="D161" s="640" t="s">
        <v>76</v>
      </c>
      <c r="E161" s="37" t="s">
        <v>77</v>
      </c>
      <c r="F161" s="219" t="s">
        <v>383</v>
      </c>
      <c r="G161" s="173" t="s">
        <v>339</v>
      </c>
      <c r="H161" s="669"/>
      <c r="I161" s="657" t="s">
        <v>50</v>
      </c>
      <c r="J161" s="162">
        <f t="shared" si="55"/>
        <v>91.11</v>
      </c>
      <c r="K161" s="161">
        <f t="shared" si="58"/>
        <v>91.11</v>
      </c>
      <c r="L161" s="36"/>
      <c r="M161" s="36"/>
      <c r="N161" s="214">
        <v>91.11</v>
      </c>
      <c r="O161" s="153">
        <f t="shared" si="49"/>
        <v>95.665500000000009</v>
      </c>
    </row>
    <row r="162" spans="1:15" s="35" customFormat="1" ht="21.15" customHeight="1" x14ac:dyDescent="0.25">
      <c r="A162" s="24"/>
      <c r="B162" s="670"/>
      <c r="C162" s="373"/>
      <c r="D162" s="641"/>
      <c r="E162" s="173"/>
      <c r="F162" s="219" t="s">
        <v>382</v>
      </c>
      <c r="G162" s="173" t="s">
        <v>336</v>
      </c>
      <c r="H162" s="670"/>
      <c r="I162" s="658"/>
      <c r="J162" s="162">
        <f t="shared" ref="J162:J164" si="69">K162-K162*$K$3</f>
        <v>91.11</v>
      </c>
      <c r="K162" s="161">
        <f t="shared" si="58"/>
        <v>91.11</v>
      </c>
      <c r="L162" s="36"/>
      <c r="M162" s="36"/>
      <c r="N162" s="214">
        <v>91.11</v>
      </c>
      <c r="O162" s="161">
        <f t="shared" ref="O162:O164" si="70">N162*1.05</f>
        <v>95.665500000000009</v>
      </c>
    </row>
    <row r="163" spans="1:15" s="35" customFormat="1" ht="21.15" customHeight="1" x14ac:dyDescent="0.25">
      <c r="A163" s="24"/>
      <c r="B163" s="670"/>
      <c r="C163" s="373"/>
      <c r="D163" s="641"/>
      <c r="E163" s="173"/>
      <c r="F163" s="219" t="s">
        <v>397</v>
      </c>
      <c r="G163" s="173" t="s">
        <v>335</v>
      </c>
      <c r="H163" s="670"/>
      <c r="I163" s="658"/>
      <c r="J163" s="162">
        <f t="shared" si="69"/>
        <v>91.11</v>
      </c>
      <c r="K163" s="161">
        <f t="shared" ref="K163:K169" si="71">IF($K$2=$N$2,N163,O163)</f>
        <v>91.11</v>
      </c>
      <c r="L163" s="36"/>
      <c r="M163" s="36"/>
      <c r="N163" s="214">
        <v>91.11</v>
      </c>
      <c r="O163" s="161">
        <f t="shared" si="70"/>
        <v>95.665500000000009</v>
      </c>
    </row>
    <row r="164" spans="1:15" s="35" customFormat="1" ht="21.15" customHeight="1" x14ac:dyDescent="0.25">
      <c r="A164" s="24"/>
      <c r="B164" s="671"/>
      <c r="C164" s="374"/>
      <c r="D164" s="642"/>
      <c r="E164" s="173"/>
      <c r="F164" s="219" t="s">
        <v>409</v>
      </c>
      <c r="G164" s="173" t="s">
        <v>334</v>
      </c>
      <c r="H164" s="671"/>
      <c r="I164" s="659"/>
      <c r="J164" s="162">
        <f t="shared" si="69"/>
        <v>91.11</v>
      </c>
      <c r="K164" s="161">
        <f t="shared" si="71"/>
        <v>91.11</v>
      </c>
      <c r="L164" s="36"/>
      <c r="M164" s="36"/>
      <c r="N164" s="214">
        <v>91.11</v>
      </c>
      <c r="O164" s="161">
        <f t="shared" si="70"/>
        <v>95.665500000000009</v>
      </c>
    </row>
    <row r="165" spans="1:15" ht="21.15" customHeight="1" x14ac:dyDescent="0.3">
      <c r="B165" s="675"/>
      <c r="C165" s="381"/>
      <c r="D165" s="660" t="s">
        <v>248</v>
      </c>
      <c r="E165" s="139" t="s">
        <v>249</v>
      </c>
      <c r="F165" s="219" t="s">
        <v>385</v>
      </c>
      <c r="G165" s="139" t="s">
        <v>339</v>
      </c>
      <c r="H165" s="672"/>
      <c r="I165" s="677" t="s">
        <v>50</v>
      </c>
      <c r="J165" s="45">
        <f t="shared" ref="J165" si="72">K165-K165*$K$3</f>
        <v>29.38</v>
      </c>
      <c r="K165" s="211">
        <f t="shared" si="71"/>
        <v>29.38</v>
      </c>
      <c r="L165" s="36"/>
      <c r="M165" s="36"/>
      <c r="N165" s="214">
        <v>29.38</v>
      </c>
      <c r="O165" s="211">
        <f>N165*1.05</f>
        <v>30.849</v>
      </c>
    </row>
    <row r="166" spans="1:15" ht="21.15" customHeight="1" x14ac:dyDescent="0.3">
      <c r="B166" s="676"/>
      <c r="C166" s="382"/>
      <c r="D166" s="662"/>
      <c r="E166" s="139"/>
      <c r="F166" s="219" t="s">
        <v>384</v>
      </c>
      <c r="G166" s="139" t="s">
        <v>335</v>
      </c>
      <c r="H166" s="674"/>
      <c r="I166" s="678"/>
      <c r="J166" s="45">
        <f t="shared" ref="J166:J169" si="73">K166-K166*$K$3</f>
        <v>29.38</v>
      </c>
      <c r="K166" s="211">
        <f t="shared" si="71"/>
        <v>29.38</v>
      </c>
      <c r="L166" s="36"/>
      <c r="M166" s="36"/>
      <c r="N166" s="214">
        <v>29.38</v>
      </c>
      <c r="O166" s="211">
        <f>N166*1.05</f>
        <v>30.849</v>
      </c>
    </row>
    <row r="167" spans="1:15" ht="20.100000000000001" customHeight="1" x14ac:dyDescent="0.3">
      <c r="B167" s="632"/>
      <c r="C167" s="383"/>
      <c r="D167" s="633" t="s">
        <v>465</v>
      </c>
      <c r="E167" s="635" t="s">
        <v>36</v>
      </c>
      <c r="F167" s="370" t="s">
        <v>466</v>
      </c>
      <c r="G167" s="139" t="s">
        <v>335</v>
      </c>
      <c r="H167" s="643"/>
      <c r="I167" s="647" t="s">
        <v>31</v>
      </c>
      <c r="J167" s="162">
        <f t="shared" si="73"/>
        <v>54.17</v>
      </c>
      <c r="K167" s="161">
        <f t="shared" si="71"/>
        <v>54.17</v>
      </c>
      <c r="L167" s="36"/>
      <c r="M167" s="36"/>
      <c r="N167" s="214">
        <v>54.17</v>
      </c>
      <c r="O167" s="211">
        <f>N167*1.05</f>
        <v>56.878500000000003</v>
      </c>
    </row>
    <row r="168" spans="1:15" ht="20.100000000000001" customHeight="1" x14ac:dyDescent="0.3">
      <c r="B168" s="632"/>
      <c r="C168" s="383"/>
      <c r="D168" s="633"/>
      <c r="E168" s="635"/>
      <c r="F168" s="219" t="s">
        <v>467</v>
      </c>
      <c r="G168" s="173" t="s">
        <v>469</v>
      </c>
      <c r="H168" s="643"/>
      <c r="I168" s="647"/>
      <c r="J168" s="162">
        <f t="shared" si="73"/>
        <v>54.17</v>
      </c>
      <c r="K168" s="161">
        <f t="shared" si="71"/>
        <v>54.17</v>
      </c>
      <c r="L168" s="36"/>
      <c r="M168" s="36"/>
      <c r="N168" s="214">
        <v>54.17</v>
      </c>
      <c r="O168" s="211">
        <f t="shared" ref="O168:O169" si="74">N168*1.05</f>
        <v>56.878500000000003</v>
      </c>
    </row>
    <row r="169" spans="1:15" ht="20.100000000000001" customHeight="1" x14ac:dyDescent="0.3">
      <c r="B169" s="632"/>
      <c r="C169" s="383"/>
      <c r="D169" s="633"/>
      <c r="E169" s="635"/>
      <c r="F169" s="219" t="s">
        <v>468</v>
      </c>
      <c r="G169" s="173" t="s">
        <v>334</v>
      </c>
      <c r="H169" s="643"/>
      <c r="I169" s="647"/>
      <c r="J169" s="162">
        <f t="shared" si="73"/>
        <v>54.17</v>
      </c>
      <c r="K169" s="161">
        <f t="shared" si="71"/>
        <v>54.17</v>
      </c>
      <c r="L169" s="36"/>
      <c r="M169" s="36"/>
      <c r="N169" s="214">
        <v>54.17</v>
      </c>
      <c r="O169" s="211">
        <f t="shared" si="74"/>
        <v>56.878500000000003</v>
      </c>
    </row>
    <row r="170" spans="1:15" ht="17.399999999999999" customHeight="1" x14ac:dyDescent="0.3">
      <c r="B170" s="227" t="s">
        <v>273</v>
      </c>
      <c r="C170" s="394"/>
      <c r="D170" s="227"/>
      <c r="E170" s="227"/>
      <c r="F170" s="227"/>
      <c r="G170" s="227"/>
      <c r="H170" s="227"/>
      <c r="I170" s="227"/>
      <c r="J170" s="227"/>
      <c r="K170" s="227"/>
      <c r="L170" s="36"/>
      <c r="M170" s="36"/>
      <c r="N170" s="168"/>
      <c r="O170" s="216"/>
    </row>
    <row r="171" spans="1:15" ht="20.100000000000001" customHeight="1" x14ac:dyDescent="0.3">
      <c r="B171" s="669"/>
      <c r="C171" s="372"/>
      <c r="D171" s="640" t="s">
        <v>80</v>
      </c>
      <c r="E171" s="155" t="s">
        <v>146</v>
      </c>
      <c r="F171" s="219" t="s">
        <v>412</v>
      </c>
      <c r="G171" s="173" t="s">
        <v>234</v>
      </c>
      <c r="H171" s="672"/>
      <c r="I171" s="657" t="s">
        <v>31</v>
      </c>
      <c r="J171" s="45">
        <f>K171-K171*$K$3</f>
        <v>11.06</v>
      </c>
      <c r="K171" s="211">
        <f t="shared" ref="K171:K184" si="75">IF($K$2=$N$2,N171,O171)</f>
        <v>11.06</v>
      </c>
      <c r="L171" s="36"/>
      <c r="M171" s="36"/>
      <c r="N171" s="214">
        <v>11.06</v>
      </c>
      <c r="O171" s="211">
        <f t="shared" ref="O171:O184" si="76">N171*1.05</f>
        <v>11.613000000000001</v>
      </c>
    </row>
    <row r="172" spans="1:15" ht="20.100000000000001" customHeight="1" x14ac:dyDescent="0.3">
      <c r="B172" s="670"/>
      <c r="C172" s="373"/>
      <c r="D172" s="641"/>
      <c r="E172" s="160"/>
      <c r="F172" s="219" t="s">
        <v>413</v>
      </c>
      <c r="G172" s="173" t="s">
        <v>342</v>
      </c>
      <c r="H172" s="673"/>
      <c r="I172" s="658"/>
      <c r="J172" s="45">
        <f t="shared" ref="J172:J173" si="77">K172-K172*$K$3</f>
        <v>11.06</v>
      </c>
      <c r="K172" s="211">
        <f t="shared" si="75"/>
        <v>11.06</v>
      </c>
      <c r="L172" s="36"/>
      <c r="M172" s="36"/>
      <c r="N172" s="214">
        <v>11.06</v>
      </c>
      <c r="O172" s="211">
        <f t="shared" ref="O172:O173" si="78">N172*1.05</f>
        <v>11.613000000000001</v>
      </c>
    </row>
    <row r="173" spans="1:15" ht="20.100000000000001" customHeight="1" x14ac:dyDescent="0.3">
      <c r="B173" s="671"/>
      <c r="C173" s="374"/>
      <c r="D173" s="642"/>
      <c r="E173" s="160"/>
      <c r="F173" s="219" t="s">
        <v>414</v>
      </c>
      <c r="G173" s="173" t="s">
        <v>334</v>
      </c>
      <c r="H173" s="674"/>
      <c r="I173" s="659"/>
      <c r="J173" s="45">
        <f t="shared" si="77"/>
        <v>11.06</v>
      </c>
      <c r="K173" s="211">
        <f t="shared" si="75"/>
        <v>11.06</v>
      </c>
      <c r="L173" s="36"/>
      <c r="M173" s="36"/>
      <c r="N173" s="214">
        <v>11.06</v>
      </c>
      <c r="O173" s="211">
        <f t="shared" si="78"/>
        <v>11.613000000000001</v>
      </c>
    </row>
    <row r="174" spans="1:15" ht="38.25" customHeight="1" x14ac:dyDescent="0.3">
      <c r="B174" s="179"/>
      <c r="C174" s="179"/>
      <c r="D174" s="159" t="s">
        <v>147</v>
      </c>
      <c r="E174" s="155" t="s">
        <v>148</v>
      </c>
      <c r="F174" s="219" t="s">
        <v>410</v>
      </c>
      <c r="G174" s="173"/>
      <c r="H174" s="44"/>
      <c r="I174" s="158" t="s">
        <v>31</v>
      </c>
      <c r="J174" s="45">
        <f t="shared" ref="J174:J184" si="79">K174-K174*$K$3</f>
        <v>90.93</v>
      </c>
      <c r="K174" s="211">
        <f t="shared" si="75"/>
        <v>90.93</v>
      </c>
      <c r="L174" s="36"/>
      <c r="M174" s="36"/>
      <c r="N174" s="214">
        <v>90.93</v>
      </c>
      <c r="O174" s="211">
        <f t="shared" si="76"/>
        <v>95.476500000000016</v>
      </c>
    </row>
    <row r="175" spans="1:15" ht="39" customHeight="1" x14ac:dyDescent="0.3">
      <c r="B175" s="179"/>
      <c r="C175" s="179"/>
      <c r="D175" s="159" t="s">
        <v>149</v>
      </c>
      <c r="E175" s="155" t="s">
        <v>148</v>
      </c>
      <c r="F175" s="219" t="s">
        <v>411</v>
      </c>
      <c r="G175" s="173"/>
      <c r="H175" s="44"/>
      <c r="I175" s="158" t="s">
        <v>31</v>
      </c>
      <c r="J175" s="45">
        <f t="shared" si="79"/>
        <v>73.03</v>
      </c>
      <c r="K175" s="211">
        <f t="shared" si="75"/>
        <v>73.03</v>
      </c>
      <c r="L175" s="36"/>
      <c r="M175" s="36"/>
      <c r="N175" s="214">
        <v>73.03</v>
      </c>
      <c r="O175" s="211">
        <f t="shared" si="76"/>
        <v>76.6815</v>
      </c>
    </row>
    <row r="176" spans="1:15" ht="42" customHeight="1" x14ac:dyDescent="0.3">
      <c r="B176" s="179"/>
      <c r="C176" s="179"/>
      <c r="D176" s="159" t="s">
        <v>150</v>
      </c>
      <c r="E176" s="155" t="s">
        <v>41</v>
      </c>
      <c r="F176" s="219" t="s">
        <v>201</v>
      </c>
      <c r="G176" s="173"/>
      <c r="H176" s="44"/>
      <c r="I176" s="37" t="s">
        <v>31</v>
      </c>
      <c r="J176" s="45">
        <f t="shared" si="79"/>
        <v>15.76</v>
      </c>
      <c r="K176" s="211">
        <f t="shared" si="75"/>
        <v>15.76</v>
      </c>
      <c r="L176" s="36"/>
      <c r="M176" s="36"/>
      <c r="N176" s="214">
        <v>15.76</v>
      </c>
      <c r="O176" s="211">
        <f t="shared" si="76"/>
        <v>16.548000000000002</v>
      </c>
    </row>
    <row r="177" spans="2:15" ht="34.5" customHeight="1" x14ac:dyDescent="0.3">
      <c r="B177" s="43"/>
      <c r="C177" s="43"/>
      <c r="D177" s="159" t="s">
        <v>82</v>
      </c>
      <c r="E177" s="155" t="s">
        <v>83</v>
      </c>
      <c r="F177" s="219" t="s">
        <v>415</v>
      </c>
      <c r="G177" s="224" t="s">
        <v>340</v>
      </c>
      <c r="H177" s="44"/>
      <c r="I177" s="37" t="s">
        <v>50</v>
      </c>
      <c r="J177" s="45">
        <f t="shared" si="79"/>
        <v>66.739999999999995</v>
      </c>
      <c r="K177" s="211">
        <f t="shared" si="75"/>
        <v>66.739999999999995</v>
      </c>
      <c r="L177" s="36"/>
      <c r="M177" s="36"/>
      <c r="N177" s="214">
        <v>66.739999999999995</v>
      </c>
      <c r="O177" s="211">
        <f t="shared" si="76"/>
        <v>70.076999999999998</v>
      </c>
    </row>
    <row r="178" spans="2:15" ht="36" customHeight="1" x14ac:dyDescent="0.3">
      <c r="B178" s="669"/>
      <c r="C178" s="372"/>
      <c r="D178" s="640" t="s">
        <v>151</v>
      </c>
      <c r="E178" s="155" t="s">
        <v>83</v>
      </c>
      <c r="F178" s="219" t="s">
        <v>416</v>
      </c>
      <c r="G178" s="224" t="s">
        <v>340</v>
      </c>
      <c r="H178" s="44"/>
      <c r="I178" s="158" t="s">
        <v>50</v>
      </c>
      <c r="J178" s="45">
        <f t="shared" si="79"/>
        <v>38.909999999999997</v>
      </c>
      <c r="K178" s="211">
        <f t="shared" si="75"/>
        <v>38.909999999999997</v>
      </c>
      <c r="L178" s="36"/>
      <c r="M178" s="36"/>
      <c r="N178" s="214">
        <v>38.909999999999997</v>
      </c>
      <c r="O178" s="211">
        <f t="shared" si="76"/>
        <v>40.855499999999999</v>
      </c>
    </row>
    <row r="179" spans="2:15" ht="32.25" customHeight="1" x14ac:dyDescent="0.3">
      <c r="B179" s="671"/>
      <c r="C179" s="374"/>
      <c r="D179" s="642"/>
      <c r="E179" s="155" t="s">
        <v>83</v>
      </c>
      <c r="F179" s="219" t="s">
        <v>417</v>
      </c>
      <c r="G179" s="224" t="s">
        <v>341</v>
      </c>
      <c r="H179" s="44"/>
      <c r="I179" s="158" t="s">
        <v>50</v>
      </c>
      <c r="J179" s="45">
        <f t="shared" si="79"/>
        <v>38.909999999999997</v>
      </c>
      <c r="K179" s="211">
        <f t="shared" si="75"/>
        <v>38.909999999999997</v>
      </c>
      <c r="L179" s="36"/>
      <c r="M179" s="36"/>
      <c r="N179" s="214">
        <v>38.909999999999997</v>
      </c>
      <c r="O179" s="211">
        <f t="shared" si="76"/>
        <v>40.855499999999999</v>
      </c>
    </row>
    <row r="180" spans="2:15" ht="20.100000000000001" customHeight="1" x14ac:dyDescent="0.3">
      <c r="B180" s="669"/>
      <c r="C180" s="372"/>
      <c r="D180" s="640" t="s">
        <v>152</v>
      </c>
      <c r="E180" s="155" t="s">
        <v>153</v>
      </c>
      <c r="F180" s="219" t="s">
        <v>419</v>
      </c>
      <c r="G180" s="173" t="s">
        <v>339</v>
      </c>
      <c r="H180" s="672"/>
      <c r="I180" s="657" t="s">
        <v>50</v>
      </c>
      <c r="J180" s="45">
        <f t="shared" si="79"/>
        <v>23.11</v>
      </c>
      <c r="K180" s="211">
        <f t="shared" si="75"/>
        <v>23.11</v>
      </c>
      <c r="L180" s="36"/>
      <c r="M180" s="36"/>
      <c r="N180" s="214">
        <v>23.11</v>
      </c>
      <c r="O180" s="211">
        <f t="shared" si="76"/>
        <v>24.265499999999999</v>
      </c>
    </row>
    <row r="181" spans="2:15" ht="20.100000000000001" customHeight="1" x14ac:dyDescent="0.3">
      <c r="B181" s="670"/>
      <c r="C181" s="373"/>
      <c r="D181" s="641"/>
      <c r="E181" s="160"/>
      <c r="F181" s="219" t="s">
        <v>420</v>
      </c>
      <c r="G181" s="173" t="s">
        <v>336</v>
      </c>
      <c r="H181" s="673"/>
      <c r="I181" s="658"/>
      <c r="J181" s="45">
        <f t="shared" ref="J181:J183" si="80">K181-K181*$K$3</f>
        <v>23.11</v>
      </c>
      <c r="K181" s="211">
        <f t="shared" si="75"/>
        <v>23.11</v>
      </c>
      <c r="L181" s="36"/>
      <c r="M181" s="36"/>
      <c r="N181" s="214">
        <v>23.11</v>
      </c>
      <c r="O181" s="211">
        <f t="shared" ref="O181:O183" si="81">N181*1.05</f>
        <v>24.265499999999999</v>
      </c>
    </row>
    <row r="182" spans="2:15" ht="20.100000000000001" customHeight="1" x14ac:dyDescent="0.3">
      <c r="B182" s="670"/>
      <c r="C182" s="373"/>
      <c r="D182" s="641"/>
      <c r="E182" s="160"/>
      <c r="F182" s="219" t="s">
        <v>421</v>
      </c>
      <c r="G182" s="173" t="s">
        <v>335</v>
      </c>
      <c r="H182" s="673"/>
      <c r="I182" s="658"/>
      <c r="J182" s="45">
        <f t="shared" si="80"/>
        <v>23.11</v>
      </c>
      <c r="K182" s="211">
        <f t="shared" si="75"/>
        <v>23.11</v>
      </c>
      <c r="L182" s="36"/>
      <c r="M182" s="36"/>
      <c r="N182" s="214">
        <v>23.11</v>
      </c>
      <c r="O182" s="211">
        <f t="shared" si="81"/>
        <v>24.265499999999999</v>
      </c>
    </row>
    <row r="183" spans="2:15" ht="20.100000000000001" customHeight="1" x14ac:dyDescent="0.3">
      <c r="B183" s="671"/>
      <c r="C183" s="374"/>
      <c r="D183" s="642"/>
      <c r="E183" s="160"/>
      <c r="F183" s="219" t="s">
        <v>422</v>
      </c>
      <c r="G183" s="173" t="s">
        <v>334</v>
      </c>
      <c r="H183" s="674"/>
      <c r="I183" s="659"/>
      <c r="J183" s="45">
        <f t="shared" si="80"/>
        <v>23.11</v>
      </c>
      <c r="K183" s="211">
        <f t="shared" si="75"/>
        <v>23.11</v>
      </c>
      <c r="L183" s="36"/>
      <c r="M183" s="36"/>
      <c r="N183" s="214">
        <v>23.11</v>
      </c>
      <c r="O183" s="211">
        <f t="shared" si="81"/>
        <v>24.265499999999999</v>
      </c>
    </row>
    <row r="184" spans="2:15" ht="39" customHeight="1" x14ac:dyDescent="0.3">
      <c r="B184" s="179"/>
      <c r="C184" s="179"/>
      <c r="D184" s="159" t="s">
        <v>81</v>
      </c>
      <c r="E184" s="155" t="s">
        <v>70</v>
      </c>
      <c r="F184" s="219" t="s">
        <v>418</v>
      </c>
      <c r="G184" s="173"/>
      <c r="H184" s="44"/>
      <c r="I184" s="158" t="s">
        <v>31</v>
      </c>
      <c r="J184" s="45">
        <f t="shared" si="79"/>
        <v>9.1199999999999992</v>
      </c>
      <c r="K184" s="211">
        <f t="shared" si="75"/>
        <v>9.1199999999999992</v>
      </c>
      <c r="L184" s="36"/>
      <c r="M184" s="36"/>
      <c r="N184" s="214">
        <v>9.1199999999999992</v>
      </c>
      <c r="O184" s="211">
        <f t="shared" si="76"/>
        <v>9.5759999999999987</v>
      </c>
    </row>
    <row r="185" spans="2:15" ht="19.95" customHeight="1" x14ac:dyDescent="0.3"/>
    <row r="186" spans="2:15" ht="19.95" customHeight="1" x14ac:dyDescent="0.3"/>
    <row r="187" spans="2:15" ht="19.95" customHeight="1" x14ac:dyDescent="0.3"/>
    <row r="188" spans="2:15" ht="19.95" customHeight="1" x14ac:dyDescent="0.3"/>
    <row r="189" spans="2:15" ht="19.95" customHeight="1" x14ac:dyDescent="0.3"/>
    <row r="190" spans="2:15" ht="19.95" customHeight="1" x14ac:dyDescent="0.3"/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</sheetData>
  <sheetProtection algorithmName="SHA-512" hashValue="cG1Dz9aC6OURFnOkF7rQwAmdK6wFOpgDBz8VPRYOtPqqYhoRI2520X5Z8wCKY8wPB74AKmeL4ndDLV2g+7FCrA==" saltValue="gg45v1gMZs3tpZ6imlLs7Q==" spinCount="100000" sheet="1" objects="1" selectLockedCells="1"/>
  <mergeCells count="129">
    <mergeCell ref="H6:H18"/>
    <mergeCell ref="I6:I18"/>
    <mergeCell ref="B19:B31"/>
    <mergeCell ref="D19:D31"/>
    <mergeCell ref="B86:B98"/>
    <mergeCell ref="D86:D98"/>
    <mergeCell ref="B72:B84"/>
    <mergeCell ref="D72:D84"/>
    <mergeCell ref="H19:H31"/>
    <mergeCell ref="I19:I31"/>
    <mergeCell ref="H72:H84"/>
    <mergeCell ref="I72:I84"/>
    <mergeCell ref="H86:H98"/>
    <mergeCell ref="I86:I98"/>
    <mergeCell ref="E6:E7"/>
    <mergeCell ref="B34:B36"/>
    <mergeCell ref="D34:D36"/>
    <mergeCell ref="H34:H36"/>
    <mergeCell ref="I34:I36"/>
    <mergeCell ref="I32:I33"/>
    <mergeCell ref="E34:E36"/>
    <mergeCell ref="B32:B33"/>
    <mergeCell ref="E8:E13"/>
    <mergeCell ref="E19:E20"/>
    <mergeCell ref="B180:B183"/>
    <mergeCell ref="D180:D183"/>
    <mergeCell ref="H180:H183"/>
    <mergeCell ref="I180:I183"/>
    <mergeCell ref="B165:B166"/>
    <mergeCell ref="D165:D166"/>
    <mergeCell ref="I165:I166"/>
    <mergeCell ref="H165:H166"/>
    <mergeCell ref="B161:B164"/>
    <mergeCell ref="D161:D164"/>
    <mergeCell ref="I161:I164"/>
    <mergeCell ref="H161:H164"/>
    <mergeCell ref="B167:B169"/>
    <mergeCell ref="D167:D169"/>
    <mergeCell ref="E167:E169"/>
    <mergeCell ref="H167:H169"/>
    <mergeCell ref="I167:I169"/>
    <mergeCell ref="D178:D179"/>
    <mergeCell ref="B178:B179"/>
    <mergeCell ref="B171:B173"/>
    <mergeCell ref="D171:D173"/>
    <mergeCell ref="H171:H173"/>
    <mergeCell ref="I171:I173"/>
    <mergeCell ref="I118:I120"/>
    <mergeCell ref="H118:H120"/>
    <mergeCell ref="I124:I127"/>
    <mergeCell ref="H124:H127"/>
    <mergeCell ref="B132:B135"/>
    <mergeCell ref="D132:D135"/>
    <mergeCell ref="E132:E135"/>
    <mergeCell ref="H132:H135"/>
    <mergeCell ref="I132:I135"/>
    <mergeCell ref="B152:B154"/>
    <mergeCell ref="D152:D154"/>
    <mergeCell ref="E152:E154"/>
    <mergeCell ref="H152:H154"/>
    <mergeCell ref="I152:I154"/>
    <mergeCell ref="B111:B113"/>
    <mergeCell ref="D111:D113"/>
    <mergeCell ref="B114:B116"/>
    <mergeCell ref="D114:D116"/>
    <mergeCell ref="I111:I113"/>
    <mergeCell ref="I114:I116"/>
    <mergeCell ref="H114:H116"/>
    <mergeCell ref="H111:H113"/>
    <mergeCell ref="B124:B127"/>
    <mergeCell ref="D124:D127"/>
    <mergeCell ref="B121:B123"/>
    <mergeCell ref="D121:D123"/>
    <mergeCell ref="E121:E123"/>
    <mergeCell ref="H121:H123"/>
    <mergeCell ref="I121:I123"/>
    <mergeCell ref="I143:I145"/>
    <mergeCell ref="I137:I142"/>
    <mergeCell ref="B118:B120"/>
    <mergeCell ref="D118:D120"/>
    <mergeCell ref="D107:D110"/>
    <mergeCell ref="E107:E110"/>
    <mergeCell ref="H107:H110"/>
    <mergeCell ref="I107:I110"/>
    <mergeCell ref="E86:E93"/>
    <mergeCell ref="B104:B106"/>
    <mergeCell ref="D104:D106"/>
    <mergeCell ref="E104:E106"/>
    <mergeCell ref="H104:H106"/>
    <mergeCell ref="I104:I106"/>
    <mergeCell ref="H100:H102"/>
    <mergeCell ref="I100:I102"/>
    <mergeCell ref="B6:B18"/>
    <mergeCell ref="D6:D18"/>
    <mergeCell ref="B143:B145"/>
    <mergeCell ref="D143:D145"/>
    <mergeCell ref="E143:E145"/>
    <mergeCell ref="H143:H145"/>
    <mergeCell ref="D140:D142"/>
    <mergeCell ref="B137:B142"/>
    <mergeCell ref="D137:D139"/>
    <mergeCell ref="E137:E142"/>
    <mergeCell ref="H137:H142"/>
    <mergeCell ref="H32:H33"/>
    <mergeCell ref="B50:B62"/>
    <mergeCell ref="D50:D62"/>
    <mergeCell ref="E52:E62"/>
    <mergeCell ref="H50:H62"/>
    <mergeCell ref="D32:D33"/>
    <mergeCell ref="E21:E26"/>
    <mergeCell ref="E32:E33"/>
    <mergeCell ref="E37:E38"/>
    <mergeCell ref="B37:B49"/>
    <mergeCell ref="D37:D49"/>
    <mergeCell ref="E39:E49"/>
    <mergeCell ref="B107:B110"/>
    <mergeCell ref="I50:I62"/>
    <mergeCell ref="B100:B102"/>
    <mergeCell ref="D100:D102"/>
    <mergeCell ref="E100:E102"/>
    <mergeCell ref="E50:E51"/>
    <mergeCell ref="E63:E71"/>
    <mergeCell ref="H37:H49"/>
    <mergeCell ref="I37:I49"/>
    <mergeCell ref="E72:E79"/>
    <mergeCell ref="B63:B71"/>
    <mergeCell ref="D63:D71"/>
    <mergeCell ref="H63:H71"/>
    <mergeCell ref="I63:I71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2023-05-05T11:16:59Z</dcterms:modified>
</cp:coreProperties>
</file>